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User\Desktop\Кинопарк\!!!!!!!ЭКСПЛУАТАЦИЯ 2026\уборка территории\"/>
    </mc:Choice>
  </mc:AlternateContent>
  <xr:revisionPtr revIDLastSave="0" documentId="13_ncr:1_{4BC4A9FF-C289-4C26-B5CD-9E896BDBB99E}" xr6:coauthVersionLast="47" xr6:coauthVersionMax="47" xr10:uidLastSave="{00000000-0000-0000-0000-000000000000}"/>
  <bookViews>
    <workbookView xWindow="-110" yWindow="-110" windowWidth="19420" windowHeight="11500" xr2:uid="{A71117E3-F9C4-4F4D-8A57-158C64CBA46B}"/>
  </bookViews>
  <sheets>
    <sheet name="Смета СН-2012 по гл. 1-5,7" sheetId="7" r:id="rId1"/>
    <sheet name="Ведомость объемов работ" sheetId="8" r:id="rId2"/>
    <sheet name="RV_DATA" sheetId="10" state="hidden" r:id="rId3"/>
    <sheet name="Расчет стоимости ресурсов" sheetId="9" r:id="rId4"/>
    <sheet name="Source" sheetId="1" r:id="rId5"/>
    <sheet name="SourceObSm" sheetId="2" r:id="rId6"/>
    <sheet name="SmtRes" sheetId="3" r:id="rId7"/>
    <sheet name="EtalonRes" sheetId="4" r:id="rId8"/>
    <sheet name="SrcPoprs" sheetId="5" r:id="rId9"/>
    <sheet name="SrcKA" sheetId="6" r:id="rId10"/>
  </sheets>
  <definedNames>
    <definedName name="_xlnm.Print_Titles" localSheetId="1">'Ведомость объемов работ'!$17:$17</definedName>
    <definedName name="_xlnm.Print_Titles" localSheetId="3">'Расчет стоимости ресурсов'!$4:$5</definedName>
    <definedName name="_xlnm.Print_Titles" localSheetId="0">'Смета СН-2012 по гл. 1-5,7'!$31:$31</definedName>
    <definedName name="_xlnm.Print_Area" localSheetId="1">'Ведомость объемов работ'!$A$1:$F$33</definedName>
    <definedName name="_xlnm.Print_Area" localSheetId="3">'Расчет стоимости ресурсов'!$A$1:$D$13</definedName>
    <definedName name="_xlnm.Print_Area" localSheetId="0">'Смета СН-2012 по гл. 1-5,7'!$A$1:$K$100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5" i="1" l="1"/>
  <c r="I92" i="7" s="1"/>
  <c r="I91" i="7"/>
  <c r="I90" i="7"/>
  <c r="F94" i="1"/>
  <c r="A6" i="9" l="1"/>
  <c r="A3" i="9"/>
  <c r="Z11" i="10"/>
  <c r="S11" i="10"/>
  <c r="T11" i="10" s="1"/>
  <c r="P11" i="10"/>
  <c r="R11" i="10" s="1"/>
  <c r="N11" i="10"/>
  <c r="O11" i="10" s="1"/>
  <c r="K11" i="10"/>
  <c r="M11" i="10" s="1"/>
  <c r="I11" i="10"/>
  <c r="H11" i="10"/>
  <c r="G11" i="10"/>
  <c r="F11" i="10"/>
  <c r="E11" i="10"/>
  <c r="D11" i="10"/>
  <c r="A11" i="10"/>
  <c r="Z10" i="10"/>
  <c r="S10" i="10"/>
  <c r="T10" i="10" s="1"/>
  <c r="P10" i="10"/>
  <c r="N10" i="10"/>
  <c r="O10" i="10" s="1"/>
  <c r="K10" i="10"/>
  <c r="M10" i="10" s="1"/>
  <c r="I10" i="10"/>
  <c r="R10" i="10" s="1"/>
  <c r="H10" i="10"/>
  <c r="G10" i="10"/>
  <c r="F10" i="10"/>
  <c r="E10" i="10"/>
  <c r="D10" i="10"/>
  <c r="A10" i="10"/>
  <c r="Z9" i="10"/>
  <c r="Q9" i="10"/>
  <c r="R9" i="10" s="1"/>
  <c r="S9" i="10"/>
  <c r="P9" i="10"/>
  <c r="L9" i="10"/>
  <c r="O9" i="10" s="1"/>
  <c r="N9" i="10"/>
  <c r="K9" i="10"/>
  <c r="J9" i="10"/>
  <c r="I9" i="10"/>
  <c r="H9" i="10"/>
  <c r="G9" i="10"/>
  <c r="F9" i="10"/>
  <c r="E9" i="10"/>
  <c r="Z8" i="10"/>
  <c r="Q8" i="10"/>
  <c r="T8" i="10" s="1"/>
  <c r="S8" i="10"/>
  <c r="P8" i="10"/>
  <c r="L8" i="10"/>
  <c r="M8" i="10" s="1"/>
  <c r="N8" i="10"/>
  <c r="K8" i="10"/>
  <c r="J8" i="10"/>
  <c r="I8" i="10"/>
  <c r="H8" i="10"/>
  <c r="G8" i="10"/>
  <c r="F8" i="10"/>
  <c r="E8" i="10"/>
  <c r="Z7" i="10"/>
  <c r="D12" i="9" s="1"/>
  <c r="Q7" i="10"/>
  <c r="R7" i="10" s="1"/>
  <c r="S7" i="10"/>
  <c r="P7" i="10"/>
  <c r="L7" i="10"/>
  <c r="O7" i="10" s="1"/>
  <c r="N7" i="10"/>
  <c r="K7" i="10"/>
  <c r="J7" i="10"/>
  <c r="I7" i="10"/>
  <c r="H7" i="10"/>
  <c r="G7" i="10"/>
  <c r="F7" i="10"/>
  <c r="E7" i="10"/>
  <c r="G6" i="10"/>
  <c r="A6" i="10"/>
  <c r="D31" i="8"/>
  <c r="D29" i="8"/>
  <c r="E26" i="8"/>
  <c r="C26" i="8"/>
  <c r="B26" i="8"/>
  <c r="E25" i="8"/>
  <c r="C25" i="8"/>
  <c r="B25" i="8"/>
  <c r="E24" i="8"/>
  <c r="C24" i="8"/>
  <c r="B24" i="8"/>
  <c r="E23" i="8"/>
  <c r="C23" i="8"/>
  <c r="B23" i="8"/>
  <c r="E22" i="8"/>
  <c r="C22" i="8"/>
  <c r="B22" i="8"/>
  <c r="E21" i="8"/>
  <c r="C21" i="8"/>
  <c r="B21" i="8"/>
  <c r="E20" i="8"/>
  <c r="C20" i="8"/>
  <c r="B20" i="8"/>
  <c r="E19" i="8"/>
  <c r="C19" i="8"/>
  <c r="B19" i="8"/>
  <c r="E18" i="8"/>
  <c r="C18" i="8"/>
  <c r="B18" i="8"/>
  <c r="B14" i="8"/>
  <c r="B13" i="8"/>
  <c r="B12" i="8"/>
  <c r="A1" i="8"/>
  <c r="H98" i="7"/>
  <c r="H95" i="7"/>
  <c r="C98" i="7"/>
  <c r="C95" i="7"/>
  <c r="C92" i="7"/>
  <c r="C91" i="7"/>
  <c r="I26" i="7"/>
  <c r="I25" i="7"/>
  <c r="I24" i="7"/>
  <c r="I23" i="7"/>
  <c r="I22" i="7"/>
  <c r="I21" i="7"/>
  <c r="A90" i="7"/>
  <c r="A87" i="7"/>
  <c r="J84" i="7"/>
  <c r="I85" i="7" s="1"/>
  <c r="I84" i="7"/>
  <c r="H84" i="7"/>
  <c r="G84" i="7"/>
  <c r="F84" i="7"/>
  <c r="V84" i="7"/>
  <c r="T84" i="7"/>
  <c r="R84" i="7"/>
  <c r="U84" i="7"/>
  <c r="S84" i="7"/>
  <c r="Q84" i="7"/>
  <c r="E84" i="7"/>
  <c r="D84" i="7"/>
  <c r="B84" i="7"/>
  <c r="K82" i="7"/>
  <c r="H82" i="7"/>
  <c r="G82" i="7"/>
  <c r="E82" i="7"/>
  <c r="J81" i="7"/>
  <c r="E81" i="7"/>
  <c r="E80" i="7"/>
  <c r="J79" i="7"/>
  <c r="E79" i="7"/>
  <c r="J78" i="7"/>
  <c r="I78" i="7"/>
  <c r="H78" i="7"/>
  <c r="G78" i="7"/>
  <c r="F78" i="7"/>
  <c r="J77" i="7"/>
  <c r="I77" i="7"/>
  <c r="H77" i="7"/>
  <c r="G77" i="7"/>
  <c r="F77" i="7"/>
  <c r="J76" i="7"/>
  <c r="I76" i="7"/>
  <c r="H76" i="7"/>
  <c r="G76" i="7"/>
  <c r="F76" i="7"/>
  <c r="C75" i="7"/>
  <c r="V74" i="7"/>
  <c r="T74" i="7"/>
  <c r="J80" i="7" s="1"/>
  <c r="I83" i="7" s="1"/>
  <c r="R74" i="7"/>
  <c r="U74" i="7"/>
  <c r="S74" i="7"/>
  <c r="Q74" i="7"/>
  <c r="E74" i="7"/>
  <c r="D74" i="7"/>
  <c r="C74" i="7"/>
  <c r="B74" i="7"/>
  <c r="K72" i="7"/>
  <c r="H72" i="7"/>
  <c r="G72" i="7"/>
  <c r="E72" i="7"/>
  <c r="J71" i="7"/>
  <c r="E71" i="7"/>
  <c r="J70" i="7"/>
  <c r="E70" i="7"/>
  <c r="J69" i="7"/>
  <c r="E69" i="7"/>
  <c r="J68" i="7"/>
  <c r="I68" i="7"/>
  <c r="H68" i="7"/>
  <c r="F68" i="7"/>
  <c r="V68" i="7"/>
  <c r="T68" i="7"/>
  <c r="R68" i="7"/>
  <c r="U68" i="7"/>
  <c r="S68" i="7"/>
  <c r="Q68" i="7"/>
  <c r="E68" i="7"/>
  <c r="D68" i="7"/>
  <c r="C68" i="7"/>
  <c r="B68" i="7"/>
  <c r="J67" i="7"/>
  <c r="I67" i="7"/>
  <c r="H67" i="7"/>
  <c r="G67" i="7"/>
  <c r="F67" i="7"/>
  <c r="J66" i="7"/>
  <c r="I73" i="7" s="1"/>
  <c r="I66" i="7"/>
  <c r="H66" i="7"/>
  <c r="G66" i="7"/>
  <c r="F66" i="7"/>
  <c r="J65" i="7"/>
  <c r="I65" i="7"/>
  <c r="H65" i="7"/>
  <c r="G65" i="7"/>
  <c r="F65" i="7"/>
  <c r="V64" i="7"/>
  <c r="T64" i="7"/>
  <c r="R64" i="7"/>
  <c r="U64" i="7"/>
  <c r="S64" i="7"/>
  <c r="Q64" i="7"/>
  <c r="E64" i="7"/>
  <c r="D64" i="7"/>
  <c r="C64" i="7"/>
  <c r="B64" i="7"/>
  <c r="K62" i="7"/>
  <c r="H62" i="7"/>
  <c r="G62" i="7"/>
  <c r="E62" i="7"/>
  <c r="E61" i="7"/>
  <c r="E60" i="7"/>
  <c r="J59" i="7"/>
  <c r="I59" i="7"/>
  <c r="H59" i="7"/>
  <c r="F59" i="7"/>
  <c r="V59" i="7"/>
  <c r="T59" i="7"/>
  <c r="R59" i="7"/>
  <c r="U59" i="7"/>
  <c r="S59" i="7"/>
  <c r="Q59" i="7"/>
  <c r="E59" i="7"/>
  <c r="D59" i="7"/>
  <c r="C59" i="7"/>
  <c r="B59" i="7"/>
  <c r="J58" i="7"/>
  <c r="I58" i="7"/>
  <c r="H58" i="7"/>
  <c r="G58" i="7"/>
  <c r="F58" i="7"/>
  <c r="J57" i="7"/>
  <c r="I57" i="7"/>
  <c r="H57" i="7"/>
  <c r="G57" i="7"/>
  <c r="F57" i="7"/>
  <c r="V56" i="7"/>
  <c r="T56" i="7"/>
  <c r="J61" i="7" s="1"/>
  <c r="R56" i="7"/>
  <c r="J60" i="7" s="1"/>
  <c r="U56" i="7"/>
  <c r="S56" i="7"/>
  <c r="Q56" i="7"/>
  <c r="E56" i="7"/>
  <c r="D56" i="7"/>
  <c r="C56" i="7"/>
  <c r="B56" i="7"/>
  <c r="K54" i="7"/>
  <c r="H54" i="7"/>
  <c r="G54" i="7"/>
  <c r="E54" i="7"/>
  <c r="E53" i="7"/>
  <c r="E52" i="7"/>
  <c r="E51" i="7"/>
  <c r="J50" i="7"/>
  <c r="I50" i="7"/>
  <c r="H50" i="7"/>
  <c r="F50" i="7"/>
  <c r="V50" i="7"/>
  <c r="T50" i="7"/>
  <c r="R50" i="7"/>
  <c r="J51" i="7" s="1"/>
  <c r="U50" i="7"/>
  <c r="S50" i="7"/>
  <c r="Q50" i="7"/>
  <c r="E50" i="7"/>
  <c r="D50" i="7"/>
  <c r="C50" i="7"/>
  <c r="B50" i="7"/>
  <c r="J49" i="7"/>
  <c r="I49" i="7"/>
  <c r="H49" i="7"/>
  <c r="G49" i="7"/>
  <c r="F49" i="7"/>
  <c r="J48" i="7"/>
  <c r="I48" i="7"/>
  <c r="H48" i="7"/>
  <c r="G48" i="7"/>
  <c r="F48" i="7"/>
  <c r="J47" i="7"/>
  <c r="I47" i="7"/>
  <c r="H47" i="7"/>
  <c r="G47" i="7"/>
  <c r="F47" i="7"/>
  <c r="J46" i="7"/>
  <c r="I46" i="7"/>
  <c r="H46" i="7"/>
  <c r="G46" i="7"/>
  <c r="F46" i="7"/>
  <c r="V45" i="7"/>
  <c r="J53" i="7" s="1"/>
  <c r="T45" i="7"/>
  <c r="J52" i="7" s="1"/>
  <c r="R45" i="7"/>
  <c r="U45" i="7"/>
  <c r="S45" i="7"/>
  <c r="Q45" i="7"/>
  <c r="E45" i="7"/>
  <c r="D45" i="7"/>
  <c r="C45" i="7"/>
  <c r="B45" i="7"/>
  <c r="K43" i="7"/>
  <c r="H43" i="7"/>
  <c r="G43" i="7"/>
  <c r="E43" i="7"/>
  <c r="J42" i="7"/>
  <c r="E42" i="7"/>
  <c r="J41" i="7"/>
  <c r="E41" i="7"/>
  <c r="J40" i="7"/>
  <c r="E40" i="7"/>
  <c r="J39" i="7"/>
  <c r="I39" i="7"/>
  <c r="H39" i="7"/>
  <c r="F39" i="7"/>
  <c r="V39" i="7"/>
  <c r="T39" i="7"/>
  <c r="R39" i="7"/>
  <c r="U39" i="7"/>
  <c r="S39" i="7"/>
  <c r="Q39" i="7"/>
  <c r="E39" i="7"/>
  <c r="D39" i="7"/>
  <c r="C39" i="7"/>
  <c r="B39" i="7"/>
  <c r="J38" i="7"/>
  <c r="I44" i="7" s="1"/>
  <c r="I38" i="7"/>
  <c r="H38" i="7"/>
  <c r="G38" i="7"/>
  <c r="F38" i="7"/>
  <c r="J37" i="7"/>
  <c r="I37" i="7"/>
  <c r="H37" i="7"/>
  <c r="G37" i="7"/>
  <c r="F37" i="7"/>
  <c r="J36" i="7"/>
  <c r="I36" i="7"/>
  <c r="H36" i="7"/>
  <c r="G36" i="7"/>
  <c r="F36" i="7"/>
  <c r="J35" i="7"/>
  <c r="I35" i="7"/>
  <c r="H35" i="7"/>
  <c r="G35" i="7"/>
  <c r="F35" i="7"/>
  <c r="V34" i="7"/>
  <c r="T34" i="7"/>
  <c r="R34" i="7"/>
  <c r="U34" i="7"/>
  <c r="S34" i="7"/>
  <c r="Q34" i="7"/>
  <c r="E34" i="7"/>
  <c r="D34" i="7"/>
  <c r="C34" i="7"/>
  <c r="B34" i="7"/>
  <c r="A33" i="7"/>
  <c r="A19" i="7"/>
  <c r="A16" i="7"/>
  <c r="A13" i="7"/>
  <c r="A10" i="7"/>
  <c r="G6" i="7"/>
  <c r="B6" i="7"/>
  <c r="A1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" i="3"/>
  <c r="Y1" i="3"/>
  <c r="CX1" i="3" s="1"/>
  <c r="CU1" i="3"/>
  <c r="CV1" i="3"/>
  <c r="CY1" i="3"/>
  <c r="CZ1" i="3"/>
  <c r="DA1" i="3"/>
  <c r="DB1" i="3"/>
  <c r="DC1" i="3"/>
  <c r="A2" i="3"/>
  <c r="Y2" i="3"/>
  <c r="CW2" i="3"/>
  <c r="CX2" i="3"/>
  <c r="CY2" i="3"/>
  <c r="CZ2" i="3"/>
  <c r="DA2" i="3"/>
  <c r="DB2" i="3"/>
  <c r="DC2" i="3"/>
  <c r="DF2" i="3"/>
  <c r="DG2" i="3"/>
  <c r="DJ2" i="3" s="1"/>
  <c r="A3" i="3"/>
  <c r="Y3" i="3"/>
  <c r="CW3" i="3"/>
  <c r="CX3" i="3"/>
  <c r="CY3" i="3"/>
  <c r="CZ3" i="3"/>
  <c r="DA3" i="3"/>
  <c r="DB3" i="3"/>
  <c r="DC3" i="3"/>
  <c r="DF3" i="3"/>
  <c r="DG3" i="3"/>
  <c r="DH3" i="3"/>
  <c r="DI3" i="3"/>
  <c r="DJ3" i="3"/>
  <c r="A4" i="3"/>
  <c r="Y4" i="3"/>
  <c r="CX4" i="3"/>
  <c r="CY4" i="3"/>
  <c r="CZ4" i="3"/>
  <c r="DB4" i="3" s="1"/>
  <c r="DA4" i="3"/>
  <c r="DC4" i="3"/>
  <c r="DF4" i="3"/>
  <c r="DJ4" i="3" s="1"/>
  <c r="DG4" i="3"/>
  <c r="A5" i="3"/>
  <c r="Y5" i="3"/>
  <c r="CU5" i="3"/>
  <c r="CV5" i="3"/>
  <c r="CX5" i="3"/>
  <c r="CY5" i="3"/>
  <c r="CZ5" i="3"/>
  <c r="DA5" i="3"/>
  <c r="DB5" i="3"/>
  <c r="DC5" i="3"/>
  <c r="DF5" i="3"/>
  <c r="DG5" i="3"/>
  <c r="DH5" i="3"/>
  <c r="DI5" i="3"/>
  <c r="DJ5" i="3" s="1"/>
  <c r="A6" i="3"/>
  <c r="Y6" i="3"/>
  <c r="CW6" i="3"/>
  <c r="CX6" i="3"/>
  <c r="CY6" i="3"/>
  <c r="CZ6" i="3"/>
  <c r="DA6" i="3"/>
  <c r="DB6" i="3"/>
  <c r="DC6" i="3"/>
  <c r="A7" i="3"/>
  <c r="Y7" i="3"/>
  <c r="CX7" i="3"/>
  <c r="CY7" i="3"/>
  <c r="CZ7" i="3"/>
  <c r="DA7" i="3"/>
  <c r="DB7" i="3"/>
  <c r="DC7" i="3"/>
  <c r="DH7" i="3"/>
  <c r="DI7" i="3"/>
  <c r="A8" i="3"/>
  <c r="Y8" i="3"/>
  <c r="CU8" i="3"/>
  <c r="CY8" i="3"/>
  <c r="CZ8" i="3"/>
  <c r="DA8" i="3"/>
  <c r="DB8" i="3"/>
  <c r="DC8" i="3"/>
  <c r="A9" i="3"/>
  <c r="Y9" i="3"/>
  <c r="CX9" i="3"/>
  <c r="CY9" i="3"/>
  <c r="CZ9" i="3"/>
  <c r="DA9" i="3"/>
  <c r="DB9" i="3"/>
  <c r="DC9" i="3"/>
  <c r="DF9" i="3"/>
  <c r="DJ9" i="3" s="1"/>
  <c r="DG9" i="3"/>
  <c r="DH9" i="3"/>
  <c r="DI9" i="3"/>
  <c r="A10" i="3"/>
  <c r="Y10" i="3"/>
  <c r="CX10" i="3"/>
  <c r="CY10" i="3"/>
  <c r="CZ10" i="3"/>
  <c r="DA10" i="3"/>
  <c r="DB10" i="3"/>
  <c r="DC10" i="3"/>
  <c r="DF10" i="3"/>
  <c r="DJ10" i="3" s="1"/>
  <c r="DG10" i="3"/>
  <c r="A11" i="3"/>
  <c r="Y11" i="3"/>
  <c r="CX11" i="3"/>
  <c r="CY11" i="3"/>
  <c r="CZ11" i="3"/>
  <c r="DA11" i="3"/>
  <c r="DB11" i="3"/>
  <c r="DC11" i="3"/>
  <c r="A12" i="3"/>
  <c r="Y12" i="3"/>
  <c r="CX12" i="3"/>
  <c r="DF12" i="3" s="1"/>
  <c r="CY12" i="3"/>
  <c r="CZ12" i="3"/>
  <c r="DB12" i="3" s="1"/>
  <c r="DA12" i="3"/>
  <c r="DC12" i="3"/>
  <c r="DG12" i="3"/>
  <c r="DH12" i="3"/>
  <c r="DI12" i="3"/>
  <c r="DJ12" i="3"/>
  <c r="A13" i="3"/>
  <c r="Y13" i="3"/>
  <c r="CV13" i="3" s="1"/>
  <c r="CU13" i="3"/>
  <c r="CY13" i="3"/>
  <c r="CZ13" i="3"/>
  <c r="DA13" i="3"/>
  <c r="DB13" i="3"/>
  <c r="DC13" i="3"/>
  <c r="A14" i="3"/>
  <c r="Y14" i="3"/>
  <c r="CW14" i="3"/>
  <c r="CX14" i="3"/>
  <c r="CY14" i="3"/>
  <c r="CZ14" i="3"/>
  <c r="DA14" i="3"/>
  <c r="DB14" i="3"/>
  <c r="DC14" i="3"/>
  <c r="DF14" i="3"/>
  <c r="DG14" i="3"/>
  <c r="DJ14" i="3" s="1"/>
  <c r="DH14" i="3"/>
  <c r="DI14" i="3"/>
  <c r="A15" i="3"/>
  <c r="Y15" i="3"/>
  <c r="CX15" i="3"/>
  <c r="CY15" i="3"/>
  <c r="CZ15" i="3"/>
  <c r="DA15" i="3"/>
  <c r="DB15" i="3"/>
  <c r="DC15" i="3"/>
  <c r="DI15" i="3"/>
  <c r="A16" i="3"/>
  <c r="Y16" i="3"/>
  <c r="CU16" i="3"/>
  <c r="CV16" i="3"/>
  <c r="CX16" i="3"/>
  <c r="CY16" i="3"/>
  <c r="CZ16" i="3"/>
  <c r="DA16" i="3"/>
  <c r="DB16" i="3"/>
  <c r="DC16" i="3"/>
  <c r="DF16" i="3"/>
  <c r="A17" i="3"/>
  <c r="Y17" i="3"/>
  <c r="CY17" i="3"/>
  <c r="CZ17" i="3"/>
  <c r="DA17" i="3"/>
  <c r="DB17" i="3"/>
  <c r="DC17" i="3"/>
  <c r="D12" i="1"/>
  <c r="B18" i="1"/>
  <c r="C18" i="1"/>
  <c r="D18" i="1"/>
  <c r="E18" i="1"/>
  <c r="F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C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B22" i="1"/>
  <c r="C22" i="1"/>
  <c r="D22" i="1"/>
  <c r="E22" i="1"/>
  <c r="F22" i="1"/>
  <c r="G22" i="1"/>
  <c r="Z22" i="1"/>
  <c r="AA22" i="1"/>
  <c r="AM22" i="1"/>
  <c r="AN22" i="1"/>
  <c r="AP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CK22" i="1"/>
  <c r="CL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C24" i="1"/>
  <c r="D24" i="1"/>
  <c r="P24" i="1"/>
  <c r="AC24" i="1"/>
  <c r="CQ24" i="1" s="1"/>
  <c r="AE24" i="1"/>
  <c r="AF24" i="1"/>
  <c r="AG24" i="1"/>
  <c r="AH24" i="1"/>
  <c r="AI24" i="1"/>
  <c r="AJ24" i="1"/>
  <c r="CX24" i="1" s="1"/>
  <c r="W24" i="1" s="1"/>
  <c r="CT24" i="1"/>
  <c r="S24" i="1" s="1"/>
  <c r="CU24" i="1"/>
  <c r="T24" i="1" s="1"/>
  <c r="AG35" i="1" s="1"/>
  <c r="CV24" i="1"/>
  <c r="U24" i="1" s="1"/>
  <c r="CW24" i="1"/>
  <c r="V24" i="1" s="1"/>
  <c r="GL24" i="1"/>
  <c r="GN24" i="1"/>
  <c r="GO24" i="1"/>
  <c r="GV24" i="1"/>
  <c r="HC24" i="1"/>
  <c r="GX24" i="1" s="1"/>
  <c r="I25" i="1"/>
  <c r="AC25" i="1"/>
  <c r="AE25" i="1"/>
  <c r="AD25" i="1" s="1"/>
  <c r="AF25" i="1"/>
  <c r="AG25" i="1"/>
  <c r="AH25" i="1"/>
  <c r="CV25" i="1" s="1"/>
  <c r="U25" i="1" s="1"/>
  <c r="AI25" i="1"/>
  <c r="CW25" i="1" s="1"/>
  <c r="V25" i="1" s="1"/>
  <c r="AJ25" i="1"/>
  <c r="CX25" i="1" s="1"/>
  <c r="W25" i="1" s="1"/>
  <c r="CQ25" i="1"/>
  <c r="P25" i="1" s="1"/>
  <c r="CP25" i="1" s="1"/>
  <c r="O25" i="1" s="1"/>
  <c r="CR25" i="1"/>
  <c r="Q25" i="1" s="1"/>
  <c r="CS25" i="1"/>
  <c r="R25" i="1" s="1"/>
  <c r="GK25" i="1" s="1"/>
  <c r="CT25" i="1"/>
  <c r="S25" i="1" s="1"/>
  <c r="CU25" i="1"/>
  <c r="T25" i="1" s="1"/>
  <c r="GL25" i="1"/>
  <c r="GN25" i="1"/>
  <c r="GO25" i="1"/>
  <c r="GV25" i="1"/>
  <c r="HC25" i="1"/>
  <c r="GX25" i="1" s="1"/>
  <c r="C26" i="1"/>
  <c r="D26" i="1"/>
  <c r="P26" i="1"/>
  <c r="CP26" i="1" s="1"/>
  <c r="O26" i="1" s="1"/>
  <c r="Q26" i="1"/>
  <c r="R26" i="1"/>
  <c r="S26" i="1"/>
  <c r="CY26" i="1" s="1"/>
  <c r="X26" i="1" s="1"/>
  <c r="T26" i="1"/>
  <c r="V26" i="1"/>
  <c r="AC26" i="1"/>
  <c r="AE26" i="1"/>
  <c r="AD26" i="1" s="1"/>
  <c r="AF26" i="1"/>
  <c r="AG26" i="1"/>
  <c r="AH26" i="1"/>
  <c r="CV26" i="1" s="1"/>
  <c r="U26" i="1" s="1"/>
  <c r="AI26" i="1"/>
  <c r="AJ26" i="1"/>
  <c r="CQ26" i="1"/>
  <c r="CR26" i="1"/>
  <c r="CS26" i="1"/>
  <c r="CT26" i="1"/>
  <c r="CU26" i="1"/>
  <c r="CW26" i="1"/>
  <c r="CX26" i="1"/>
  <c r="W26" i="1" s="1"/>
  <c r="GK26" i="1"/>
  <c r="GL26" i="1"/>
  <c r="GN26" i="1"/>
  <c r="GO26" i="1"/>
  <c r="GV26" i="1"/>
  <c r="HC26" i="1"/>
  <c r="GX26" i="1" s="1"/>
  <c r="I27" i="1"/>
  <c r="T27" i="1" s="1"/>
  <c r="P27" i="1"/>
  <c r="AC27" i="1"/>
  <c r="AB27" i="1" s="1"/>
  <c r="AD27" i="1"/>
  <c r="AE27" i="1"/>
  <c r="AF27" i="1"/>
  <c r="AG27" i="1"/>
  <c r="AH27" i="1"/>
  <c r="AI27" i="1"/>
  <c r="AJ27" i="1"/>
  <c r="CQ27" i="1"/>
  <c r="CR27" i="1"/>
  <c r="Q27" i="1" s="1"/>
  <c r="CS27" i="1"/>
  <c r="R27" i="1" s="1"/>
  <c r="GK27" i="1" s="1"/>
  <c r="CT27" i="1"/>
  <c r="S27" i="1" s="1"/>
  <c r="CU27" i="1"/>
  <c r="CV27" i="1"/>
  <c r="CW27" i="1"/>
  <c r="CX27" i="1"/>
  <c r="GL27" i="1"/>
  <c r="GN27" i="1"/>
  <c r="GO27" i="1"/>
  <c r="GV27" i="1"/>
  <c r="HC27" i="1"/>
  <c r="C28" i="1"/>
  <c r="D28" i="1"/>
  <c r="S28" i="1"/>
  <c r="CY28" i="1" s="1"/>
  <c r="X28" i="1" s="1"/>
  <c r="T28" i="1"/>
  <c r="U28" i="1"/>
  <c r="V28" i="1"/>
  <c r="W28" i="1"/>
  <c r="AC28" i="1"/>
  <c r="CQ28" i="1" s="1"/>
  <c r="P28" i="1" s="1"/>
  <c r="AE28" i="1"/>
  <c r="AF28" i="1"/>
  <c r="CT28" i="1" s="1"/>
  <c r="AG28" i="1"/>
  <c r="AH28" i="1"/>
  <c r="AI28" i="1"/>
  <c r="AJ28" i="1"/>
  <c r="CU28" i="1"/>
  <c r="CV28" i="1"/>
  <c r="CW28" i="1"/>
  <c r="CX28" i="1"/>
  <c r="GL28" i="1"/>
  <c r="GN28" i="1"/>
  <c r="GO28" i="1"/>
  <c r="GV28" i="1"/>
  <c r="HC28" i="1" s="1"/>
  <c r="GX28" i="1" s="1"/>
  <c r="I29" i="1"/>
  <c r="W29" i="1"/>
  <c r="AC29" i="1"/>
  <c r="CQ29" i="1" s="1"/>
  <c r="P29" i="1" s="1"/>
  <c r="AE29" i="1"/>
  <c r="AD29" i="1" s="1"/>
  <c r="AF29" i="1"/>
  <c r="AG29" i="1"/>
  <c r="CU29" i="1" s="1"/>
  <c r="T29" i="1" s="1"/>
  <c r="AH29" i="1"/>
  <c r="CV29" i="1" s="1"/>
  <c r="U29" i="1" s="1"/>
  <c r="AI29" i="1"/>
  <c r="CW29" i="1" s="1"/>
  <c r="V29" i="1" s="1"/>
  <c r="AJ29" i="1"/>
  <c r="CR29" i="1"/>
  <c r="Q29" i="1" s="1"/>
  <c r="CS29" i="1"/>
  <c r="R29" i="1" s="1"/>
  <c r="GK29" i="1" s="1"/>
  <c r="CT29" i="1"/>
  <c r="S29" i="1" s="1"/>
  <c r="CX29" i="1"/>
  <c r="GL29" i="1"/>
  <c r="GN29" i="1"/>
  <c r="GO29" i="1"/>
  <c r="GV29" i="1"/>
  <c r="HC29" i="1"/>
  <c r="GX29" i="1" s="1"/>
  <c r="C30" i="1"/>
  <c r="D30" i="1"/>
  <c r="AC30" i="1"/>
  <c r="CQ30" i="1" s="1"/>
  <c r="P30" i="1" s="1"/>
  <c r="AE30" i="1"/>
  <c r="AF30" i="1"/>
  <c r="AG30" i="1"/>
  <c r="AH30" i="1"/>
  <c r="CV30" i="1" s="1"/>
  <c r="U30" i="1" s="1"/>
  <c r="AI30" i="1"/>
  <c r="CW30" i="1" s="1"/>
  <c r="V30" i="1" s="1"/>
  <c r="AJ30" i="1"/>
  <c r="CX30" i="1" s="1"/>
  <c r="W30" i="1" s="1"/>
  <c r="CT30" i="1"/>
  <c r="S30" i="1" s="1"/>
  <c r="CU30" i="1"/>
  <c r="T30" i="1" s="1"/>
  <c r="GL30" i="1"/>
  <c r="GN30" i="1"/>
  <c r="GO30" i="1"/>
  <c r="GV30" i="1"/>
  <c r="HC30" i="1"/>
  <c r="GX30" i="1" s="1"/>
  <c r="I31" i="1"/>
  <c r="T31" i="1"/>
  <c r="U31" i="1"/>
  <c r="V31" i="1"/>
  <c r="W31" i="1"/>
  <c r="AC31" i="1"/>
  <c r="CQ31" i="1" s="1"/>
  <c r="P31" i="1" s="1"/>
  <c r="AE31" i="1"/>
  <c r="CR31" i="1" s="1"/>
  <c r="AF31" i="1"/>
  <c r="CT31" i="1" s="1"/>
  <c r="AG31" i="1"/>
  <c r="CU31" i="1" s="1"/>
  <c r="AH31" i="1"/>
  <c r="CV31" i="1" s="1"/>
  <c r="AI31" i="1"/>
  <c r="AJ31" i="1"/>
  <c r="CS31" i="1"/>
  <c r="CW31" i="1"/>
  <c r="CX31" i="1"/>
  <c r="GL31" i="1"/>
  <c r="GN31" i="1"/>
  <c r="GO31" i="1"/>
  <c r="GV31" i="1"/>
  <c r="HC31" i="1"/>
  <c r="GX31" i="1" s="1"/>
  <c r="C32" i="1"/>
  <c r="D32" i="1"/>
  <c r="I32" i="1"/>
  <c r="K32" i="1"/>
  <c r="AC32" i="1"/>
  <c r="AE32" i="1"/>
  <c r="AF32" i="1"/>
  <c r="CT32" i="1" s="1"/>
  <c r="S32" i="1" s="1"/>
  <c r="AG32" i="1"/>
  <c r="CU32" i="1" s="1"/>
  <c r="T32" i="1" s="1"/>
  <c r="AH32" i="1"/>
  <c r="CV32" i="1" s="1"/>
  <c r="U32" i="1" s="1"/>
  <c r="AI32" i="1"/>
  <c r="CW32" i="1" s="1"/>
  <c r="V32" i="1" s="1"/>
  <c r="AJ32" i="1"/>
  <c r="CX32" i="1" s="1"/>
  <c r="W32" i="1" s="1"/>
  <c r="CQ32" i="1"/>
  <c r="P32" i="1" s="1"/>
  <c r="GL32" i="1"/>
  <c r="GN32" i="1"/>
  <c r="GO32" i="1"/>
  <c r="GV32" i="1"/>
  <c r="HC32" i="1"/>
  <c r="GX32" i="1" s="1"/>
  <c r="S33" i="1"/>
  <c r="CY33" i="1" s="1"/>
  <c r="X33" i="1" s="1"/>
  <c r="AC33" i="1"/>
  <c r="AE33" i="1"/>
  <c r="AD33" i="1" s="1"/>
  <c r="AF33" i="1"/>
  <c r="AG33" i="1"/>
  <c r="CU33" i="1" s="1"/>
  <c r="T33" i="1" s="1"/>
  <c r="AH33" i="1"/>
  <c r="CV33" i="1" s="1"/>
  <c r="U33" i="1" s="1"/>
  <c r="AI33" i="1"/>
  <c r="CW33" i="1" s="1"/>
  <c r="V33" i="1" s="1"/>
  <c r="AJ33" i="1"/>
  <c r="CX33" i="1" s="1"/>
  <c r="W33" i="1" s="1"/>
  <c r="CQ33" i="1"/>
  <c r="P33" i="1" s="1"/>
  <c r="CR33" i="1"/>
  <c r="Q33" i="1" s="1"/>
  <c r="CS33" i="1"/>
  <c r="R33" i="1" s="1"/>
  <c r="GK33" i="1" s="1"/>
  <c r="CT33" i="1"/>
  <c r="GL33" i="1"/>
  <c r="GO33" i="1"/>
  <c r="GP33" i="1"/>
  <c r="GV33" i="1"/>
  <c r="HC33" i="1"/>
  <c r="GX33" i="1" s="1"/>
  <c r="B35" i="1"/>
  <c r="C35" i="1"/>
  <c r="D35" i="1"/>
  <c r="F35" i="1"/>
  <c r="G35" i="1"/>
  <c r="AO35" i="1"/>
  <c r="AO22" i="1" s="1"/>
  <c r="AP35" i="1"/>
  <c r="F44" i="1" s="1"/>
  <c r="BB35" i="1"/>
  <c r="BX35" i="1"/>
  <c r="BY35" i="1"/>
  <c r="CC35" i="1"/>
  <c r="AT35" i="1" s="1"/>
  <c r="AT22" i="1" s="1"/>
  <c r="CK35" i="1"/>
  <c r="CL35" i="1"/>
  <c r="BC35" i="1" s="1"/>
  <c r="BC65" i="1" s="1"/>
  <c r="CM35" i="1"/>
  <c r="F39" i="1"/>
  <c r="F51" i="1"/>
  <c r="B65" i="1"/>
  <c r="C65" i="1"/>
  <c r="D65" i="1"/>
  <c r="F65" i="1"/>
  <c r="G65" i="1"/>
  <c r="G18" i="1" s="1"/>
  <c r="AO65" i="1"/>
  <c r="AP65" i="1"/>
  <c r="AP18" i="1" s="1"/>
  <c r="F81" i="1"/>
  <c r="G16" i="2"/>
  <c r="F12" i="6"/>
  <c r="G12" i="6"/>
  <c r="O8" i="10" l="1"/>
  <c r="T7" i="10"/>
  <c r="T9" i="10"/>
  <c r="M7" i="10"/>
  <c r="D9" i="9"/>
  <c r="M9" i="10"/>
  <c r="D10" i="9"/>
  <c r="R8" i="10"/>
  <c r="D11" i="9"/>
  <c r="D8" i="9"/>
  <c r="P85" i="7"/>
  <c r="K85" i="7"/>
  <c r="I55" i="7"/>
  <c r="K83" i="7"/>
  <c r="P83" i="7"/>
  <c r="K44" i="7"/>
  <c r="P44" i="7"/>
  <c r="K73" i="7"/>
  <c r="P73" i="7"/>
  <c r="I63" i="7"/>
  <c r="CP33" i="1"/>
  <c r="O33" i="1" s="1"/>
  <c r="CY27" i="1"/>
  <c r="X27" i="1" s="1"/>
  <c r="CZ27" i="1"/>
  <c r="Y27" i="1" s="1"/>
  <c r="T35" i="1"/>
  <c r="AG22" i="1"/>
  <c r="CY24" i="1"/>
  <c r="X24" i="1" s="1"/>
  <c r="CZ24" i="1"/>
  <c r="Y24" i="1" s="1"/>
  <c r="CY30" i="1"/>
  <c r="X30" i="1" s="1"/>
  <c r="CZ30" i="1"/>
  <c r="Y30" i="1" s="1"/>
  <c r="AJ35" i="1"/>
  <c r="GM26" i="1"/>
  <c r="GP26" i="1" s="1"/>
  <c r="CP27" i="1"/>
  <c r="O27" i="1" s="1"/>
  <c r="AB31" i="1"/>
  <c r="CY25" i="1"/>
  <c r="X25" i="1" s="1"/>
  <c r="GM25" i="1" s="1"/>
  <c r="GP25" i="1" s="1"/>
  <c r="CZ25" i="1"/>
  <c r="Y25" i="1" s="1"/>
  <c r="AC35" i="1"/>
  <c r="BZ35" i="1"/>
  <c r="DF1" i="3"/>
  <c r="DG1" i="3"/>
  <c r="DH1" i="3"/>
  <c r="AT65" i="1"/>
  <c r="BB65" i="1"/>
  <c r="F48" i="1"/>
  <c r="F53" i="1"/>
  <c r="F16" i="2" s="1"/>
  <c r="CY29" i="1"/>
  <c r="X29" i="1" s="1"/>
  <c r="CZ29" i="1"/>
  <c r="Y29" i="1" s="1"/>
  <c r="AI35" i="1"/>
  <c r="CZ28" i="1"/>
  <c r="Y28" i="1" s="1"/>
  <c r="DG16" i="3"/>
  <c r="DH16" i="3"/>
  <c r="DI16" i="3"/>
  <c r="DJ16" i="3" s="1"/>
  <c r="DF6" i="3"/>
  <c r="DG6" i="3"/>
  <c r="DJ6" i="3" s="1"/>
  <c r="DH6" i="3"/>
  <c r="DI6" i="3"/>
  <c r="F69" i="1"/>
  <c r="AO18" i="1"/>
  <c r="CR30" i="1"/>
  <c r="Q30" i="1" s="1"/>
  <c r="CP30" i="1" s="1"/>
  <c r="O30" i="1" s="1"/>
  <c r="CS30" i="1"/>
  <c r="R30" i="1" s="1"/>
  <c r="GK30" i="1" s="1"/>
  <c r="AD30" i="1"/>
  <c r="CZ26" i="1"/>
  <c r="Y26" i="1" s="1"/>
  <c r="DH4" i="3"/>
  <c r="DI4" i="3"/>
  <c r="AB33" i="1"/>
  <c r="CY32" i="1"/>
  <c r="X32" i="1" s="1"/>
  <c r="CZ32" i="1"/>
  <c r="Y32" i="1" s="1"/>
  <c r="CV8" i="3"/>
  <c r="CX8" i="3"/>
  <c r="CR32" i="1"/>
  <c r="Q32" i="1" s="1"/>
  <c r="CP32" i="1" s="1"/>
  <c r="O32" i="1" s="1"/>
  <c r="GM32" i="1" s="1"/>
  <c r="GP32" i="1" s="1"/>
  <c r="CS32" i="1"/>
  <c r="R32" i="1" s="1"/>
  <c r="GK32" i="1" s="1"/>
  <c r="DH2" i="3"/>
  <c r="DI2" i="3"/>
  <c r="AD32" i="1"/>
  <c r="AB32" i="1" s="1"/>
  <c r="AB25" i="1"/>
  <c r="CR24" i="1"/>
  <c r="Q24" i="1" s="1"/>
  <c r="AD35" i="1" s="1"/>
  <c r="CS24" i="1"/>
  <c r="R24" i="1" s="1"/>
  <c r="CM22" i="1"/>
  <c r="BD35" i="1"/>
  <c r="R31" i="1"/>
  <c r="GK31" i="1" s="1"/>
  <c r="CP29" i="1"/>
  <c r="O29" i="1" s="1"/>
  <c r="AD24" i="1"/>
  <c r="AB29" i="1"/>
  <c r="W27" i="1"/>
  <c r="F74" i="1"/>
  <c r="V27" i="1"/>
  <c r="AB24" i="1"/>
  <c r="CC22" i="1"/>
  <c r="DI1" i="3"/>
  <c r="DJ1" i="3" s="1"/>
  <c r="CZ33" i="1"/>
  <c r="Y33" i="1" s="1"/>
  <c r="CR28" i="1"/>
  <c r="Q28" i="1" s="1"/>
  <c r="CS28" i="1"/>
  <c r="R28" i="1" s="1"/>
  <c r="GK28" i="1" s="1"/>
  <c r="U27" i="1"/>
  <c r="AH35" i="1" s="1"/>
  <c r="AD28" i="1"/>
  <c r="AB28" i="1" s="1"/>
  <c r="DF11" i="3"/>
  <c r="DJ11" i="3" s="1"/>
  <c r="DG11" i="3"/>
  <c r="DH11" i="3"/>
  <c r="DI11" i="3"/>
  <c r="S31" i="1"/>
  <c r="CP28" i="1"/>
  <c r="O28" i="1" s="1"/>
  <c r="GM28" i="1" s="1"/>
  <c r="GP28" i="1" s="1"/>
  <c r="CX13" i="3"/>
  <c r="Q31" i="1"/>
  <c r="BC22" i="1"/>
  <c r="DF7" i="3"/>
  <c r="DJ7" i="3" s="1"/>
  <c r="DG7" i="3"/>
  <c r="AD31" i="1"/>
  <c r="BB22" i="1"/>
  <c r="DH10" i="3"/>
  <c r="DI10" i="3"/>
  <c r="CW17" i="3"/>
  <c r="CX17" i="3"/>
  <c r="AB30" i="1"/>
  <c r="CI35" i="1"/>
  <c r="AB26" i="1"/>
  <c r="DF15" i="3"/>
  <c r="DJ15" i="3" s="1"/>
  <c r="DG15" i="3"/>
  <c r="DH15" i="3"/>
  <c r="GX27" i="1"/>
  <c r="CJ35" i="1" s="1"/>
  <c r="P63" i="7" l="1"/>
  <c r="K63" i="7"/>
  <c r="P55" i="7"/>
  <c r="K55" i="7"/>
  <c r="CJ22" i="1"/>
  <c r="BA35" i="1"/>
  <c r="U35" i="1"/>
  <c r="AH22" i="1"/>
  <c r="CY31" i="1"/>
  <c r="X31" i="1" s="1"/>
  <c r="CZ31" i="1"/>
  <c r="Y31" i="1" s="1"/>
  <c r="AE35" i="1"/>
  <c r="GK24" i="1"/>
  <c r="AD22" i="1"/>
  <c r="Q35" i="1"/>
  <c r="GM27" i="1"/>
  <c r="GP27" i="1" s="1"/>
  <c r="CP31" i="1"/>
  <c r="O31" i="1" s="1"/>
  <c r="GM31" i="1" s="1"/>
  <c r="GP31" i="1" s="1"/>
  <c r="CI22" i="1"/>
  <c r="AZ35" i="1"/>
  <c r="DF8" i="3"/>
  <c r="DG8" i="3"/>
  <c r="DH8" i="3"/>
  <c r="DI8" i="3"/>
  <c r="DJ8" i="3" s="1"/>
  <c r="AI22" i="1"/>
  <c r="V35" i="1"/>
  <c r="W35" i="1"/>
  <c r="AJ22" i="1"/>
  <c r="DF17" i="3"/>
  <c r="DG17" i="3"/>
  <c r="DJ17" i="3" s="1"/>
  <c r="DH17" i="3"/>
  <c r="DI17" i="3"/>
  <c r="AF35" i="1"/>
  <c r="F78" i="1"/>
  <c r="BB18" i="1"/>
  <c r="AL35" i="1"/>
  <c r="AT18" i="1"/>
  <c r="F83" i="1"/>
  <c r="AK35" i="1"/>
  <c r="T22" i="1"/>
  <c r="T65" i="1"/>
  <c r="F56" i="1"/>
  <c r="GM29" i="1"/>
  <c r="GP29" i="1" s="1"/>
  <c r="GM30" i="1"/>
  <c r="GP30" i="1" s="1"/>
  <c r="BZ22" i="1"/>
  <c r="CG35" i="1"/>
  <c r="AQ35" i="1"/>
  <c r="CP24" i="1"/>
  <c r="O24" i="1" s="1"/>
  <c r="GM33" i="1"/>
  <c r="GN33" i="1" s="1"/>
  <c r="CB35" i="1" s="1"/>
  <c r="DF13" i="3"/>
  <c r="DG13" i="3"/>
  <c r="DH13" i="3"/>
  <c r="DI13" i="3"/>
  <c r="DJ13" i="3" s="1"/>
  <c r="BD65" i="1"/>
  <c r="F60" i="1"/>
  <c r="BD22" i="1"/>
  <c r="CE35" i="1"/>
  <c r="CF35" i="1"/>
  <c r="CH35" i="1"/>
  <c r="AC22" i="1"/>
  <c r="P35" i="1"/>
  <c r="I87" i="7" l="1"/>
  <c r="CB22" i="1"/>
  <c r="AS35" i="1"/>
  <c r="W65" i="1"/>
  <c r="W22" i="1"/>
  <c r="F59" i="1"/>
  <c r="AB35" i="1"/>
  <c r="GM24" i="1"/>
  <c r="V65" i="1"/>
  <c r="V22" i="1"/>
  <c r="F58" i="1"/>
  <c r="F45" i="1"/>
  <c r="AQ65" i="1"/>
  <c r="AQ22" i="1"/>
  <c r="CG22" i="1"/>
  <c r="AX35" i="1"/>
  <c r="AZ65" i="1"/>
  <c r="F46" i="1"/>
  <c r="AZ22" i="1"/>
  <c r="T18" i="1"/>
  <c r="F86" i="1"/>
  <c r="P65" i="1"/>
  <c r="P22" i="1"/>
  <c r="F38" i="1"/>
  <c r="X35" i="1"/>
  <c r="AK22" i="1"/>
  <c r="Q22" i="1"/>
  <c r="F47" i="1"/>
  <c r="Q65" i="1"/>
  <c r="CH22" i="1"/>
  <c r="AY35" i="1"/>
  <c r="CF22" i="1"/>
  <c r="AW35" i="1"/>
  <c r="Y35" i="1"/>
  <c r="AL22" i="1"/>
  <c r="CE22" i="1"/>
  <c r="AV35" i="1"/>
  <c r="AE22" i="1"/>
  <c r="R35" i="1"/>
  <c r="AF22" i="1"/>
  <c r="S35" i="1"/>
  <c r="F90" i="1"/>
  <c r="BD18" i="1"/>
  <c r="U22" i="1"/>
  <c r="U65" i="1"/>
  <c r="F57" i="1"/>
  <c r="F55" i="1"/>
  <c r="BA65" i="1"/>
  <c r="BA22" i="1"/>
  <c r="F87" i="1" l="1"/>
  <c r="U18" i="1"/>
  <c r="P18" i="1"/>
  <c r="F68" i="1"/>
  <c r="S22" i="1"/>
  <c r="S65" i="1"/>
  <c r="F50" i="1"/>
  <c r="R22" i="1"/>
  <c r="R65" i="1"/>
  <c r="F49" i="1"/>
  <c r="F76" i="1"/>
  <c r="AZ18" i="1"/>
  <c r="AX22" i="1"/>
  <c r="AX65" i="1"/>
  <c r="F42" i="1"/>
  <c r="AV22" i="1"/>
  <c r="F40" i="1"/>
  <c r="AV65" i="1"/>
  <c r="AQ18" i="1"/>
  <c r="F75" i="1"/>
  <c r="Y22" i="1"/>
  <c r="F62" i="1"/>
  <c r="Y65" i="1"/>
  <c r="AW22" i="1"/>
  <c r="F41" i="1"/>
  <c r="AW65" i="1"/>
  <c r="F43" i="1"/>
  <c r="AY65" i="1"/>
  <c r="AY22" i="1"/>
  <c r="F88" i="1"/>
  <c r="V18" i="1"/>
  <c r="CA35" i="1"/>
  <c r="GP24" i="1"/>
  <c r="CD35" i="1" s="1"/>
  <c r="Q18" i="1"/>
  <c r="F77" i="1"/>
  <c r="AB22" i="1"/>
  <c r="O35" i="1"/>
  <c r="BA18" i="1"/>
  <c r="F85" i="1"/>
  <c r="F89" i="1"/>
  <c r="W18" i="1"/>
  <c r="X22" i="1"/>
  <c r="F61" i="1"/>
  <c r="X65" i="1"/>
  <c r="AS22" i="1"/>
  <c r="F52" i="1"/>
  <c r="E16" i="2" s="1"/>
  <c r="AS65" i="1"/>
  <c r="F91" i="1" l="1"/>
  <c r="X18" i="1"/>
  <c r="F70" i="1"/>
  <c r="AV18" i="1"/>
  <c r="O65" i="1"/>
  <c r="O22" i="1"/>
  <c r="F37" i="1"/>
  <c r="F72" i="1"/>
  <c r="AX18" i="1"/>
  <c r="AU35" i="1"/>
  <c r="CD22" i="1"/>
  <c r="CA22" i="1"/>
  <c r="AR35" i="1"/>
  <c r="R18" i="1"/>
  <c r="F79" i="1"/>
  <c r="J16" i="2"/>
  <c r="F73" i="1"/>
  <c r="AY18" i="1"/>
  <c r="S18" i="1"/>
  <c r="F80" i="1"/>
  <c r="F71" i="1"/>
  <c r="AW18" i="1"/>
  <c r="AS18" i="1"/>
  <c r="F82" i="1"/>
  <c r="F92" i="1"/>
  <c r="Y18" i="1"/>
  <c r="AR22" i="1" l="1"/>
  <c r="F63" i="1"/>
  <c r="AR65" i="1"/>
  <c r="F54" i="1"/>
  <c r="H16" i="2" s="1"/>
  <c r="I16" i="2" s="1"/>
  <c r="N16" i="2" s="1"/>
  <c r="AU22" i="1"/>
  <c r="AU65" i="1"/>
  <c r="O18" i="1"/>
  <c r="F67" i="1"/>
  <c r="AU18" i="1" l="1"/>
  <c r="F84" i="1"/>
  <c r="AR18" i="1"/>
  <c r="F93" i="1"/>
</calcChain>
</file>

<file path=xl/sharedStrings.xml><?xml version="1.0" encoding="utf-8"?>
<sst xmlns="http://schemas.openxmlformats.org/spreadsheetml/2006/main" count="1335" uniqueCount="246">
  <si>
    <t>Smeta.RU Flash  (495) 974-1589</t>
  </si>
  <si>
    <t>_PS_</t>
  </si>
  <si>
    <t>Smeta.RU Flash</t>
  </si>
  <si>
    <t/>
  </si>
  <si>
    <t>Новый объект</t>
  </si>
  <si>
    <t>Содержание биотуалетов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</si>
  <si>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</si>
  <si>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</si>
  <si>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</si>
  <si>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</si>
  <si>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</si>
  <si>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</si>
  <si>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Новая локальная смета</t>
  </si>
  <si>
    <t>1</t>
  </si>
  <si>
    <t>5.3-1101-21-2/1</t>
  </si>
  <si>
    <t>Санитарное содержание модульного туалета на две кабины - откачка из септиков жидких биологических отходов (ЖБО) с дезодорацией септиков</t>
  </si>
  <si>
    <t>1 модуль</t>
  </si>
  <si>
    <t>СН-2012.5 Выпуск № 5 (в текущих ценах по состоянию на 01.10.2025 г.). 5.3-1101-21-2/1</t>
  </si>
  <si>
    <t>)*52)*2</t>
  </si>
  <si>
    <t>СН-2012</t>
  </si>
  <si>
    <t>Подрядные работы, гл. 1-5,7</t>
  </si>
  <si>
    <t>работа</t>
  </si>
  <si>
    <t>1,1</t>
  </si>
  <si>
    <t>21.1-25-13</t>
  </si>
  <si>
    <t>Вода</t>
  </si>
  <si>
    <t>м3</t>
  </si>
  <si>
    <t>СН-2012.21 Выпуск № 5 (в текущих ценах по состоянию на 01.10.2025 г.). 21.1-25-13</t>
  </si>
  <si>
    <t>2</t>
  </si>
  <si>
    <t>5.3-1101-21-3/1</t>
  </si>
  <si>
    <t>Санитарное содержание модульного туалета на две кабины - заправка баков водой</t>
  </si>
  <si>
    <t>СН-2012.5 Выпуск № 5 (в текущих ценах по состоянию на 01.10.2025 г.). 5.3-1101-21-3/1</t>
  </si>
  <si>
    <t>2,1</t>
  </si>
  <si>
    <t>3</t>
  </si>
  <si>
    <t>5.3-1101-21-1/1</t>
  </si>
  <si>
    <t>Санитарное содержание модульного туалета на две кабины - ежедневная уборка модульного туалета и прилегающей санитарной зоны</t>
  </si>
  <si>
    <t>СН-2012.5 Выпуск № 5 (в текущих ценах по состоянию на 01.10.2025 г.). 5.3-1101-21-1/1</t>
  </si>
  <si>
    <t>)*52)*5</t>
  </si>
  <si>
    <t>3,1</t>
  </si>
  <si>
    <t>4</t>
  </si>
  <si>
    <t>5.3-1103-2-1/1</t>
  </si>
  <si>
    <t>Откачка из накопительного бака (септика) модульного туалета жидких биологических отходов (ЖБО) машиной вакуумной на базе автомобиля с объемом цистерны до 5 м3 с дезодорацией септиков - подготовительные, сопутствующие работы и дезодорация</t>
  </si>
  <si>
    <t>шт.</t>
  </si>
  <si>
    <t>СН-2012.5 Выпуск № 5 (в текущих ценах по состоянию на 01.10.2025 г.). 5.3-1103-2-1/1</t>
  </si>
  <si>
    <t>)*26</t>
  </si>
  <si>
    <t>4,1</t>
  </si>
  <si>
    <t>21.1-24-99</t>
  </si>
  <si>
    <t>Средство жидкое концентрированное дезодорирующее для баков накопительных биотуалетных систем</t>
  </si>
  <si>
    <t>л</t>
  </si>
  <si>
    <t>СН-2012.21 Выпуск № 5 (в текущих ценах по состоянию на 01.10.2025 г.). 21.1-24-99</t>
  </si>
  <si>
    <t>5</t>
  </si>
  <si>
    <t>5.3-1103-2-2/1</t>
  </si>
  <si>
    <t>Откачка из накопительного бака (септика) модульного туалета жидких биологических отходов (ЖБО) машиной вакуумной на базе автомобиля с объемом цистерны до 5 м3 с дезодорацией септиков - откачка</t>
  </si>
  <si>
    <t>10 м3</t>
  </si>
  <si>
    <t>СН-2012.5 Выпуск № 5 (в текущих ценах по состоянию на 01.10.2025 г.). 5.3-1103-2-2/1</t>
  </si>
  <si>
    <t>6</t>
  </si>
  <si>
    <t>ена поставщика</t>
  </si>
  <si>
    <t>Туалетная бумага Veiro Professional Premium T308 (или эквивалент) 25 м двухслойная (расход 1 шт. по 25 м на 1 унитазна 2  дня)</t>
  </si>
  <si>
    <t>Материалы</t>
  </si>
  <si>
    <t>Материалы, изделия и конструкции</t>
  </si>
  <si>
    <t>[20 / 1,2]</t>
  </si>
  <si>
    <t>0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</si>
  <si>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</si>
  <si>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</si>
  <si>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</si>
  <si>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</si>
  <si>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</si>
  <si>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</si>
  <si>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</si>
  <si>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</si>
  <si>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</si>
  <si>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</si>
  <si>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</si>
  <si>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</si>
  <si>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</si>
  <si>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</si>
  <si>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</si>
  <si>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</si>
  <si>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</si>
  <si>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</si>
  <si>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</si>
  <si>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</si>
  <si>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</si>
  <si>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</si>
  <si>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</si>
  <si>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</si>
  <si>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</si>
  <si>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</si>
  <si>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</si>
  <si>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</si>
  <si>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</si>
  <si>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</si>
  <si>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</si>
  <si>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</si>
  <si>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</si>
  <si>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</si>
  <si>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</si>
  <si>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</si>
  <si>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</si>
  <si>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</si>
  <si>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</si>
  <si>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</si>
  <si>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</si>
  <si>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</si>
  <si>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</si>
  <si>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</si>
  <si>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</si>
  <si>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</si>
  <si>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</si>
  <si>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</si>
  <si>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</si>
  <si>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</si>
  <si>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</si>
  <si>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</si>
  <si>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</si>
  <si>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</si>
  <si>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НДС 20%</t>
  </si>
  <si>
    <t>Итого с НДС</t>
  </si>
  <si>
    <t>Уровень цен на 01.10.2025</t>
  </si>
  <si>
    <t>_OBSM_</t>
  </si>
  <si>
    <t>9999990008</t>
  </si>
  <si>
    <t>Трудозатраты рабочих</t>
  </si>
  <si>
    <t>чел.-ч.</t>
  </si>
  <si>
    <t>22.1-11-97</t>
  </si>
  <si>
    <t>СН-2012.22 Выпуск № 5 (в текущих ценах по состоянию на 01.10.2025 г.). 22.1-11-97</t>
  </si>
  <si>
    <t>Машины для откачки фекальных отходов модульных общественных туалетов на тракторе, емкость прицепа-цистерны до 3,5 м3, производительность вакуумного насоса с механическим приводом 240 м3/ч</t>
  </si>
  <si>
    <t>маш.-ч</t>
  </si>
  <si>
    <t>22.1-5-17</t>
  </si>
  <si>
    <t>СН-2012.22 Выпуск № 5 (в текущих ценах по состоянию на 01.10.2025 г.). 22.1-5-17</t>
  </si>
  <si>
    <t>Поливомоечные машины, емкость цистерны до 5000 л</t>
  </si>
  <si>
    <t>21.1-24-22</t>
  </si>
  <si>
    <t>СН-2012.21 Выпуск № 5 (в текущих ценах по состоянию на 01.10.2025 г.). 21.1-24-22</t>
  </si>
  <si>
    <t>Средство кислотное высококонцентрированное бактерицидное пенное для очистки и дезинфекции, рН 2-3</t>
  </si>
  <si>
    <t>21.1-24-48</t>
  </si>
  <si>
    <t>СН-2012.21 Выпуск № 5 (в текущих ценах по состоянию на 01.10.2025 г.). 21.1-24-48</t>
  </si>
  <si>
    <t>Средство жидкое концентрированное бактерицидное для дезинфекции и предстерилизационной очистки с содержанием алкилдиметилбензиламмоний хлорида 4,8%, рН 7</t>
  </si>
  <si>
    <t>21.1-25-635</t>
  </si>
  <si>
    <t>СН-2012.21 Выпуск № 5 (в текущих ценах по состоянию на 01.10.2025 г.). 21.1-25-635</t>
  </si>
  <si>
    <t>Пакеты ПНД для мусора, объем пакета 30 л</t>
  </si>
  <si>
    <t>22.1-11-73</t>
  </si>
  <si>
    <t>СН-2012.22 Выпуск № 5 (в текущих ценах по состоянию на 01.10.2025 г.). 22.1-11-73</t>
  </si>
  <si>
    <t>Машины вакуумные на базе автомобиля, объем цистерны до 5 м3, производительность насоса до 360 м3/ч, глубина очищаемой ямы до 4 м</t>
  </si>
  <si>
    <t>0131000000</t>
  </si>
  <si>
    <t>2389801000</t>
  </si>
  <si>
    <t>Средство жидкое концентрированное дезодорирующее</t>
  </si>
  <si>
    <t>"СОГЛАСОВАНО"</t>
  </si>
  <si>
    <t>"УТВЕРЖДАЮ"</t>
  </si>
  <si>
    <t>Форма № 1а (глава 1-5)</t>
  </si>
  <si>
    <t>"_____"________________ 2025 г.</t>
  </si>
  <si>
    <t>(наименование объекта)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</si>
  <si>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</si>
  <si>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</si>
  <si>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</si>
  <si>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</si>
  <si>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</si>
  <si>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</si>
  <si>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</si>
  <si>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</si>
  <si>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</si>
  <si>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</si>
  <si>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стоимостного норматива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</si>
  <si>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</si>
  <si>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</si>
  <si>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</si>
  <si>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</si>
  <si>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</si>
  <si>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</si>
  <si>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</si>
  <si>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</si>
  <si>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</si>
  <si>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 xml:space="preserve">ЗТР, всего чел.-час
</t>
  </si>
  <si>
    <t xml:space="preserve">Ст-ть ед. с начислен.
</t>
  </si>
  <si>
    <t>Составлен(а) в уровне текущих (прогнозных) цен на IV квартал 2025 года</t>
  </si>
  <si>
    <t>ЗП</t>
  </si>
  <si>
    <t>ЭМ</t>
  </si>
  <si>
    <t>в т.ч. ЗПМ</t>
  </si>
  <si>
    <t>МР</t>
  </si>
  <si>
    <t>к нр )*52)*2</t>
  </si>
  <si>
    <t>НР от ЗП</t>
  </si>
  <si>
    <t>%</t>
  </si>
  <si>
    <t>НП от ЗП</t>
  </si>
  <si>
    <t>НР и НП от ЗПМ</t>
  </si>
  <si>
    <t>ЗТР</t>
  </si>
  <si>
    <t>чел-ч</t>
  </si>
  <si>
    <t>к нр )*52)*5</t>
  </si>
  <si>
    <r>
      <t>Туалетная бумага Veiro Professional Premium T308 (или эквивалент) 25 м двухслойная (расход 1 шт. по 25 м на 1 унитазна 2  дня)</t>
    </r>
    <r>
      <rPr>
        <i/>
        <sz val="10"/>
        <rFont val="Arial"/>
        <family val="2"/>
        <charset val="204"/>
      </rPr>
      <t xml:space="preserve">
16,67 = [20 / 1,2]</t>
    </r>
  </si>
  <si>
    <t xml:space="preserve">Составил   </t>
  </si>
  <si>
    <t>[должность,подпись(инициалы,фамилия)]</t>
  </si>
  <si>
    <t xml:space="preserve">Проверил   </t>
  </si>
  <si>
    <t>___________________________</t>
  </si>
  <si>
    <t>" ___ " ___________ 20 ___ г.</t>
  </si>
  <si>
    <t>№ п/п</t>
  </si>
  <si>
    <t>№ в ЛСР</t>
  </si>
  <si>
    <t>Количество</t>
  </si>
  <si>
    <t>Примечание</t>
  </si>
  <si>
    <t>Главный инженер проекта _________________</t>
  </si>
  <si>
    <t>Составил _________________</t>
  </si>
  <si>
    <t>TYPE</t>
  </si>
  <si>
    <t>SOURCE_LINK</t>
  </si>
  <si>
    <t>RABMAT_EX</t>
  </si>
  <si>
    <t>TIP_RAB</t>
  </si>
  <si>
    <t>TYPE_TRUD</t>
  </si>
  <si>
    <t>TAB</t>
  </si>
  <si>
    <t>NAME</t>
  </si>
  <si>
    <t>EDIZM</t>
  </si>
  <si>
    <t>KOLL</t>
  </si>
  <si>
    <t>UCH</t>
  </si>
  <si>
    <t>PRICE_B</t>
  </si>
  <si>
    <t>PRICE_ED</t>
  </si>
  <si>
    <t>STOIM_B</t>
  </si>
  <si>
    <t>PRICE_C</t>
  </si>
  <si>
    <t>STOIM_C</t>
  </si>
  <si>
    <t>ZPM_B</t>
  </si>
  <si>
    <t>ZPM_ED</t>
  </si>
  <si>
    <t>STOIM_ZPM_B</t>
  </si>
  <si>
    <t>ZPM_C</t>
  </si>
  <si>
    <t>STOIM_ZPM_C</t>
  </si>
  <si>
    <t>CRC_GR_RES</t>
  </si>
  <si>
    <t>CRC_B</t>
  </si>
  <si>
    <t>CRC_C</t>
  </si>
  <si>
    <t>RABMAT</t>
  </si>
  <si>
    <t>WBS</t>
  </si>
  <si>
    <t>CBSI</t>
  </si>
  <si>
    <t>CBSII</t>
  </si>
  <si>
    <t>TechSpecCVORPP</t>
  </si>
  <si>
    <t>BuildingFinished</t>
  </si>
  <si>
    <t>PEREVOZKA</t>
  </si>
  <si>
    <t>Trud</t>
  </si>
  <si>
    <t>Mash</t>
  </si>
  <si>
    <t>Mat</t>
  </si>
  <si>
    <t>MatZak</t>
  </si>
  <si>
    <t>Oborud</t>
  </si>
  <si>
    <t>OborudZak</t>
  </si>
  <si>
    <t>ZeroStoim</t>
  </si>
  <si>
    <t>NegativeKoll</t>
  </si>
  <si>
    <t>ReUnionKollResurcy</t>
  </si>
  <si>
    <t>UnionOneUchRes</t>
  </si>
  <si>
    <t>IdLevel</t>
  </si>
  <si>
    <t>ViewCodes</t>
  </si>
  <si>
    <t>UnionCodes</t>
  </si>
  <si>
    <t>Ресурсная ведомость на</t>
  </si>
  <si>
    <t>Объект: Содержание биотуалетов</t>
  </si>
  <si>
    <t>Обоснование</t>
  </si>
  <si>
    <t>Наименование</t>
  </si>
  <si>
    <t>Объем</t>
  </si>
  <si>
    <t>Материальные ресурсы (учтенные)</t>
  </si>
  <si>
    <t>НДС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</si>
</sst>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8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i/>
      <sz val="11"/>
      <name val="Arial"/>
      <family val="2"/>
      <charset val="204"/>
    </font>
    <font>
      <sz val="13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164" fontId="9" fillId="0" borderId="0" xfId="0" applyNumberFormat="1" applyFont="1"/>
    <xf numFmtId="1" fontId="9" fillId="0" borderId="0" xfId="0" applyNumberFormat="1" applyFont="1"/>
    <xf numFmtId="0" fontId="14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  <xf numFmtId="165" fontId="9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0" fontId="9" fillId="0" borderId="0" xfId="0" quotePrefix="1" applyFont="1" applyAlignment="1">
      <alignment horizontal="right" wrapText="1"/>
    </xf>
    <xf numFmtId="165" fontId="0" fillId="0" borderId="0" xfId="0" applyNumberFormat="1"/>
    <xf numFmtId="0" fontId="16" fillId="0" borderId="0" xfId="0" applyFont="1" applyAlignment="1">
      <alignment horizontal="right"/>
    </xf>
    <xf numFmtId="0" fontId="0" fillId="0" borderId="6" xfId="0" applyBorder="1"/>
    <xf numFmtId="165" fontId="16" fillId="0" borderId="6" xfId="0" applyNumberFormat="1" applyFont="1" applyBorder="1" applyAlignment="1">
      <alignment horizontal="right"/>
    </xf>
    <xf numFmtId="0" fontId="7" fillId="0" borderId="0" xfId="0" applyFont="1" applyAlignment="1">
      <alignment vertical="top" wrapText="1"/>
    </xf>
    <xf numFmtId="0" fontId="16" fillId="0" borderId="0" xfId="0" applyFont="1"/>
    <xf numFmtId="0" fontId="9" fillId="0" borderId="1" xfId="0" applyFont="1" applyBorder="1"/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10" fillId="0" borderId="4" xfId="0" quotePrefix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left" vertical="top" wrapText="1"/>
    </xf>
    <xf numFmtId="0" fontId="9" fillId="0" borderId="4" xfId="0" applyFont="1" applyBorder="1" applyAlignment="1">
      <alignment horizontal="left" wrapText="1"/>
    </xf>
    <xf numFmtId="0" fontId="9" fillId="0" borderId="4" xfId="0" applyFont="1" applyBorder="1" applyAlignment="1">
      <alignment horizontal="right" wrapText="1"/>
    </xf>
    <xf numFmtId="0" fontId="9" fillId="0" borderId="0" xfId="0" applyFont="1" applyAlignment="1">
      <alignment horizontal="right" vertical="center"/>
    </xf>
    <xf numFmtId="0" fontId="8" fillId="0" borderId="2" xfId="0" applyFont="1" applyBorder="1" applyAlignment="1">
      <alignment horizontal="center"/>
    </xf>
    <xf numFmtId="0" fontId="16" fillId="0" borderId="0" xfId="0" applyFont="1" applyAlignment="1">
      <alignment horizontal="left" wrapText="1"/>
    </xf>
    <xf numFmtId="165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0" fontId="9" fillId="0" borderId="0" xfId="0" applyFont="1" applyAlignment="1">
      <alignment horizontal="left" wrapText="1"/>
    </xf>
    <xf numFmtId="165" fontId="9" fillId="0" borderId="0" xfId="0" applyNumberFormat="1" applyFont="1" applyAlignment="1">
      <alignment horizontal="right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165" fontId="16" fillId="0" borderId="6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0" fillId="0" borderId="0" xfId="0"/>
    <xf numFmtId="0" fontId="12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C54C5-937A-4633-AD5F-A633BA1A4D9F}">
  <sheetPr>
    <pageSetUpPr fitToPage="1"/>
  </sheetPr>
  <dimension ref="A1:V99"/>
  <sheetViews>
    <sheetView tabSelected="1" topLeftCell="A80" zoomScaleNormal="100" workbookViewId="0">
      <selection activeCell="E84" sqref="E84"/>
    </sheetView>
  </sheetViews>
  <sheetFormatPr defaultRowHeight="12.5" x14ac:dyDescent="0.25"/>
  <cols>
    <col min="1" max="1" width="5.6328125" customWidth="1"/>
    <col min="2" max="2" width="11.6328125" customWidth="1"/>
    <col min="3" max="3" width="40.6328125" customWidth="1"/>
    <col min="4" max="6" width="11.6328125" customWidth="1"/>
    <col min="7" max="11" width="12.6328125" customWidth="1"/>
    <col min="15" max="36" width="0" hidden="1" customWidth="1"/>
  </cols>
  <sheetData>
    <row r="1" spans="1:11" x14ac:dyDescent="0.25">
      <c r="A1" s="7" t="str">
        <f>CONCATENATE(Source!B1, "     СН-2012 (© ГБУ «Аналитический центр», ", "2025", ")")</f>
        <v>Smeta.RU Flash  (495) 974-1589     СН-2012 (© ГБУ «Аналитический центр», 2025)</v>
      </c>
    </row>
    <row r="2" spans="1:11" ht="14" x14ac:dyDescent="0.3">
      <c r="A2" s="8"/>
      <c r="B2" s="8"/>
      <c r="C2" s="8"/>
      <c r="D2" s="8"/>
      <c r="E2" s="8"/>
      <c r="F2" s="8"/>
      <c r="G2" s="8"/>
      <c r="H2" s="8"/>
      <c r="I2" s="8"/>
      <c r="J2" s="53" t="s">
        <v>146</v>
      </c>
      <c r="K2" s="53"/>
    </row>
    <row r="3" spans="1:11" ht="16.5" x14ac:dyDescent="0.35">
      <c r="A3" s="10"/>
      <c r="B3" s="59" t="s">
        <v>144</v>
      </c>
      <c r="C3" s="59"/>
      <c r="D3" s="59"/>
      <c r="E3" s="59"/>
      <c r="F3" s="9"/>
      <c r="G3" s="59" t="s">
        <v>145</v>
      </c>
      <c r="H3" s="59"/>
      <c r="I3" s="59"/>
      <c r="J3" s="59"/>
      <c r="K3" s="59"/>
    </row>
    <row r="4" spans="1:11" ht="14" x14ac:dyDescent="0.3">
      <c r="A4" s="9"/>
      <c r="B4" s="52"/>
      <c r="C4" s="52"/>
      <c r="D4" s="52"/>
      <c r="E4" s="52"/>
      <c r="F4" s="9"/>
      <c r="G4" s="52"/>
      <c r="H4" s="52"/>
      <c r="I4" s="52"/>
      <c r="J4" s="52"/>
      <c r="K4" s="52"/>
    </row>
    <row r="5" spans="1:11" ht="14" x14ac:dyDescent="0.3">
      <c r="A5" s="9"/>
      <c r="B5" s="9"/>
      <c r="C5" s="11"/>
      <c r="D5" s="11"/>
      <c r="E5" s="11"/>
      <c r="F5" s="9"/>
      <c r="G5" s="11"/>
      <c r="H5" s="11"/>
      <c r="I5" s="11"/>
      <c r="J5" s="11"/>
      <c r="K5" s="11"/>
    </row>
    <row r="6" spans="1:11" ht="14" x14ac:dyDescent="0.3">
      <c r="A6" s="11"/>
      <c r="B6" s="52" t="str">
        <f>CONCATENATE("______________________ ", IF(Source!AL12&lt;&gt;"", Source!AL12, ""))</f>
        <v xml:space="preserve">______________________ </v>
      </c>
      <c r="C6" s="52"/>
      <c r="D6" s="52"/>
      <c r="E6" s="52"/>
      <c r="F6" s="9"/>
      <c r="G6" s="52" t="str">
        <f>CONCATENATE("______________________ ", IF(Source!AH12&lt;&gt;"", Source!AH12, ""))</f>
        <v xml:space="preserve">______________________ </v>
      </c>
      <c r="H6" s="52"/>
      <c r="I6" s="52"/>
      <c r="J6" s="52"/>
      <c r="K6" s="52"/>
    </row>
    <row r="7" spans="1:11" ht="14" x14ac:dyDescent="0.3">
      <c r="A7" s="12"/>
      <c r="B7" s="46" t="s">
        <v>147</v>
      </c>
      <c r="C7" s="46"/>
      <c r="D7" s="46"/>
      <c r="E7" s="46"/>
      <c r="F7" s="9"/>
      <c r="G7" s="46" t="s">
        <v>147</v>
      </c>
      <c r="H7" s="46"/>
      <c r="I7" s="46"/>
      <c r="J7" s="46"/>
      <c r="K7" s="46"/>
    </row>
    <row r="9" spans="1:11" ht="14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ht="18" hidden="1" x14ac:dyDescent="0.4">
      <c r="A10" s="56" t="str">
        <f>IF(Source!G12&lt;&gt;"Новый объект", Source!G12, "")</f>
        <v>Содержание биотуалетов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</row>
    <row r="11" spans="1:11" hidden="1" x14ac:dyDescent="0.25">
      <c r="A11" s="42" t="s">
        <v>148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</row>
    <row r="12" spans="1:11" ht="14" hidden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5.5" x14ac:dyDescent="0.35">
      <c r="A13" s="57" t="str">
        <f>CONCATENATE( "ЛОКАЛЬНАЯ СМЕТА № ",IF(Source!F12&lt;&gt;"Новый объект", Source!F12, ""))</f>
        <v xml:space="preserve">ЛОКАЛЬНАЯ СМЕТА № 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</row>
    <row r="14" spans="1:11" x14ac:dyDescent="0.25">
      <c r="A14" s="54" t="s">
        <v>149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</row>
    <row r="15" spans="1:1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ht="18" x14ac:dyDescent="0.4">
      <c r="A16" s="56" t="str">
        <f>IF(Source!G12&lt;&gt;"Новый объект", Source!G12, "")</f>
        <v>Содержание биотуалетов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x14ac:dyDescent="0.25">
      <c r="A17" s="54" t="s">
        <v>150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</row>
    <row r="18" spans="1:11" ht="14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</row>
    <row r="19" spans="1:11" ht="14" x14ac:dyDescent="0.3">
      <c r="A19" s="46" t="str">
        <f>CONCATENATE( "Основание: чертежи № ", Source!J12)</f>
        <v xml:space="preserve">Основание: чертежи № 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</row>
    <row r="20" spans="1:11" ht="14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1:11" ht="14" x14ac:dyDescent="0.3">
      <c r="A21" s="9"/>
      <c r="B21" s="9"/>
      <c r="C21" s="9"/>
      <c r="D21" s="9"/>
      <c r="E21" s="9"/>
      <c r="F21" s="52" t="s">
        <v>151</v>
      </c>
      <c r="G21" s="52"/>
      <c r="H21" s="52"/>
      <c r="I21" s="47">
        <f>I22+I23+I24+I25</f>
        <v>14513.869999999999</v>
      </c>
      <c r="J21" s="53"/>
      <c r="K21" s="9" t="s">
        <v>152</v>
      </c>
    </row>
    <row r="22" spans="1:11" ht="14" hidden="1" x14ac:dyDescent="0.3">
      <c r="A22" s="9"/>
      <c r="B22" s="9"/>
      <c r="C22" s="9"/>
      <c r="D22" s="9"/>
      <c r="E22" s="9"/>
      <c r="F22" s="52" t="s">
        <v>153</v>
      </c>
      <c r="G22" s="52"/>
      <c r="H22" s="52"/>
      <c r="I22" s="47">
        <f>ROUND((Source!F82)/1000, 2)</f>
        <v>179.49</v>
      </c>
      <c r="J22" s="53"/>
      <c r="K22" s="9" t="s">
        <v>152</v>
      </c>
    </row>
    <row r="23" spans="1:11" ht="14" hidden="1" x14ac:dyDescent="0.3">
      <c r="A23" s="9"/>
      <c r="B23" s="9"/>
      <c r="C23" s="9"/>
      <c r="D23" s="9"/>
      <c r="E23" s="9"/>
      <c r="F23" s="52" t="s">
        <v>154</v>
      </c>
      <c r="G23" s="52"/>
      <c r="H23" s="52"/>
      <c r="I23" s="47">
        <f>ROUND((Source!F83)/1000, 2)</f>
        <v>0</v>
      </c>
      <c r="J23" s="53"/>
      <c r="K23" s="9" t="s">
        <v>152</v>
      </c>
    </row>
    <row r="24" spans="1:11" ht="14" hidden="1" x14ac:dyDescent="0.3">
      <c r="A24" s="9"/>
      <c r="B24" s="9"/>
      <c r="C24" s="9"/>
      <c r="D24" s="9"/>
      <c r="E24" s="9"/>
      <c r="F24" s="52" t="s">
        <v>155</v>
      </c>
      <c r="G24" s="52"/>
      <c r="H24" s="52"/>
      <c r="I24" s="47">
        <f>ROUND((Source!F74)/1000, 2)</f>
        <v>0</v>
      </c>
      <c r="J24" s="53"/>
      <c r="K24" s="9" t="s">
        <v>152</v>
      </c>
    </row>
    <row r="25" spans="1:11" ht="14" hidden="1" x14ac:dyDescent="0.3">
      <c r="A25" s="9"/>
      <c r="B25" s="9"/>
      <c r="C25" s="9"/>
      <c r="D25" s="9"/>
      <c r="E25" s="9"/>
      <c r="F25" s="52" t="s">
        <v>156</v>
      </c>
      <c r="G25" s="52"/>
      <c r="H25" s="52"/>
      <c r="I25" s="47">
        <f>ROUND((Source!F84+Source!F85)/1000, 2)</f>
        <v>14334.38</v>
      </c>
      <c r="J25" s="53"/>
      <c r="K25" s="9" t="s">
        <v>152</v>
      </c>
    </row>
    <row r="26" spans="1:11" ht="14" x14ac:dyDescent="0.3">
      <c r="A26" s="9"/>
      <c r="B26" s="9"/>
      <c r="C26" s="9"/>
      <c r="D26" s="9"/>
      <c r="E26" s="9"/>
      <c r="F26" s="52" t="s">
        <v>157</v>
      </c>
      <c r="G26" s="52"/>
      <c r="H26" s="52"/>
      <c r="I26" s="47">
        <f>(Source!F80+ Source!F79)/1000</f>
        <v>5394.7478800000008</v>
      </c>
      <c r="J26" s="53"/>
      <c r="K26" s="9" t="s">
        <v>152</v>
      </c>
    </row>
    <row r="27" spans="1:11" ht="14" x14ac:dyDescent="0.3">
      <c r="A27" s="9" t="s">
        <v>171</v>
      </c>
      <c r="B27" s="9"/>
      <c r="C27" s="9"/>
      <c r="D27" s="14"/>
      <c r="E27" s="15"/>
      <c r="F27" s="9"/>
      <c r="G27" s="9"/>
      <c r="H27" s="9"/>
      <c r="I27" s="9"/>
      <c r="J27" s="9"/>
      <c r="K27" s="9"/>
    </row>
    <row r="28" spans="1:11" ht="14.5" x14ac:dyDescent="0.25">
      <c r="A28" s="48" t="s">
        <v>158</v>
      </c>
      <c r="B28" s="48" t="s">
        <v>159</v>
      </c>
      <c r="C28" s="48" t="s">
        <v>160</v>
      </c>
      <c r="D28" s="48" t="s">
        <v>161</v>
      </c>
      <c r="E28" s="48" t="s">
        <v>162</v>
      </c>
      <c r="F28" s="48" t="s">
        <v>163</v>
      </c>
      <c r="G28" s="48" t="s">
        <v>164</v>
      </c>
      <c r="H28" s="48" t="s">
        <v>165</v>
      </c>
      <c r="I28" s="48" t="s">
        <v>166</v>
      </c>
      <c r="J28" s="48" t="s">
        <v>167</v>
      </c>
      <c r="K28" s="16" t="s">
        <v>168</v>
      </c>
    </row>
    <row r="29" spans="1:11" ht="42" x14ac:dyDescent="0.25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17" t="s">
        <v>169</v>
      </c>
    </row>
    <row r="30" spans="1:11" ht="42" x14ac:dyDescent="0.25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17" t="s">
        <v>170</v>
      </c>
    </row>
    <row r="31" spans="1:11" ht="14" x14ac:dyDescent="0.25">
      <c r="A31" s="17">
        <v>1</v>
      </c>
      <c r="B31" s="17">
        <v>2</v>
      </c>
      <c r="C31" s="17">
        <v>3</v>
      </c>
      <c r="D31" s="17">
        <v>4</v>
      </c>
      <c r="E31" s="17">
        <v>5</v>
      </c>
      <c r="F31" s="17">
        <v>6</v>
      </c>
      <c r="G31" s="17">
        <v>7</v>
      </c>
      <c r="H31" s="17">
        <v>8</v>
      </c>
      <c r="I31" s="17">
        <v>9</v>
      </c>
      <c r="J31" s="17">
        <v>10</v>
      </c>
      <c r="K31" s="17">
        <v>11</v>
      </c>
    </row>
    <row r="33" spans="1:22" ht="16.5" x14ac:dyDescent="0.35">
      <c r="A33" s="50" t="str">
        <f>CONCATENATE("Локальная смета: ",IF(Source!G20&lt;&gt;"Новая локальная смета", Source!G20, ""))</f>
        <v xml:space="preserve">Локальная смета: 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</row>
    <row r="34" spans="1:22" ht="56" x14ac:dyDescent="0.35">
      <c r="A34" s="18">
        <v>1</v>
      </c>
      <c r="B34" s="18" t="str">
        <f>Source!F24</f>
        <v>5.3-1101-21-2/1</v>
      </c>
      <c r="C34" s="18" t="str">
        <f>Source!G24</f>
        <v>Санитарное содержание модульного туалета на две кабины - откачка из септиков жидких биологических отходов (ЖБО) с дезодорацией септиков</v>
      </c>
      <c r="D34" s="19" t="str">
        <f>Source!H24</f>
        <v>1 модуль</v>
      </c>
      <c r="E34" s="8">
        <f>Source!I24</f>
        <v>24</v>
      </c>
      <c r="F34" s="21"/>
      <c r="G34" s="20"/>
      <c r="H34" s="8"/>
      <c r="I34" s="8"/>
      <c r="J34" s="21"/>
      <c r="K34" s="21"/>
      <c r="Q34">
        <f>ROUND((Source!BZ24/100)*ROUND((Source!AF24*Source!AV24)*Source!I24, 2), 2)</f>
        <v>619906.56000000006</v>
      </c>
      <c r="R34">
        <f>Source!X24</f>
        <v>619906.56000000006</v>
      </c>
      <c r="S34">
        <f>ROUND((Source!CA24/100)*ROUND((Source!AF24*Source!AV24)*Source!I24, 2), 2)</f>
        <v>88558.080000000002</v>
      </c>
      <c r="T34">
        <f>Source!Y24</f>
        <v>88558.080000000002</v>
      </c>
      <c r="U34">
        <f>ROUND((175/100)*ROUND((Source!AE24*Source!AV24)*Source!I24, 2), 2)</f>
        <v>4009518.24</v>
      </c>
      <c r="V34">
        <f>ROUND((108/100)*ROUND(Source!CS24*Source!I24, 2), 2)</f>
        <v>2474445.54</v>
      </c>
    </row>
    <row r="35" spans="1:22" ht="14.5" x14ac:dyDescent="0.35">
      <c r="A35" s="18"/>
      <c r="B35" s="18"/>
      <c r="C35" s="18" t="s">
        <v>172</v>
      </c>
      <c r="D35" s="19"/>
      <c r="E35" s="8"/>
      <c r="F35" s="21">
        <f>Source!AO24</f>
        <v>354.8</v>
      </c>
      <c r="G35" s="20" t="str">
        <f>Source!DG24</f>
        <v>)*52)*2</v>
      </c>
      <c r="H35" s="8">
        <f>Source!AV24</f>
        <v>1</v>
      </c>
      <c r="I35" s="8">
        <f>IF(Source!BA24&lt;&gt; 0, Source!BA24, 1)</f>
        <v>1</v>
      </c>
      <c r="J35" s="21">
        <f>Source!S24</f>
        <v>885580.80000000005</v>
      </c>
      <c r="K35" s="21"/>
    </row>
    <row r="36" spans="1:22" ht="14.5" x14ac:dyDescent="0.35">
      <c r="A36" s="18"/>
      <c r="B36" s="18"/>
      <c r="C36" s="18" t="s">
        <v>173</v>
      </c>
      <c r="D36" s="19"/>
      <c r="E36" s="8"/>
      <c r="F36" s="21">
        <f>Source!AM24</f>
        <v>2050.5</v>
      </c>
      <c r="G36" s="20" t="str">
        <f>Source!DE24</f>
        <v>)*52)*2</v>
      </c>
      <c r="H36" s="8">
        <f>Source!AV24</f>
        <v>1</v>
      </c>
      <c r="I36" s="8">
        <f>IF(Source!BB24&lt;&gt; 0, Source!BB24, 1)</f>
        <v>1</v>
      </c>
      <c r="J36" s="21">
        <f>Source!Q24</f>
        <v>5118048</v>
      </c>
      <c r="K36" s="21"/>
    </row>
    <row r="37" spans="1:22" ht="14.5" x14ac:dyDescent="0.35">
      <c r="A37" s="18"/>
      <c r="B37" s="18"/>
      <c r="C37" s="18" t="s">
        <v>174</v>
      </c>
      <c r="D37" s="19"/>
      <c r="E37" s="8"/>
      <c r="F37" s="21">
        <f>Source!AN24</f>
        <v>917.93</v>
      </c>
      <c r="G37" s="20" t="str">
        <f>Source!DF24</f>
        <v>)*52)*2</v>
      </c>
      <c r="H37" s="8">
        <f>Source!AV24</f>
        <v>1</v>
      </c>
      <c r="I37" s="8">
        <f>IF(Source!BS24&lt;&gt; 0, Source!BS24, 1)</f>
        <v>1</v>
      </c>
      <c r="J37" s="22">
        <f>Source!R24</f>
        <v>2291153.2799999998</v>
      </c>
      <c r="K37" s="21"/>
    </row>
    <row r="38" spans="1:22" ht="14.5" x14ac:dyDescent="0.35">
      <c r="A38" s="18"/>
      <c r="B38" s="18"/>
      <c r="C38" s="18" t="s">
        <v>175</v>
      </c>
      <c r="D38" s="19"/>
      <c r="E38" s="8"/>
      <c r="F38" s="21">
        <f>Source!AL24</f>
        <v>54.81</v>
      </c>
      <c r="G38" s="20" t="str">
        <f>Source!DD24</f>
        <v>)*52)*2</v>
      </c>
      <c r="H38" s="8">
        <f>Source!AW24</f>
        <v>1</v>
      </c>
      <c r="I38" s="8">
        <f>IF(Source!BC24&lt;&gt; 0, Source!BC24, 1)</f>
        <v>1</v>
      </c>
      <c r="J38" s="21">
        <f>Source!P24</f>
        <v>136805.76000000001</v>
      </c>
      <c r="K38" s="21"/>
    </row>
    <row r="39" spans="1:22" ht="14.5" x14ac:dyDescent="0.35">
      <c r="A39" s="18" t="s">
        <v>22</v>
      </c>
      <c r="B39" s="18" t="str">
        <f>Source!F25</f>
        <v>21.1-25-13</v>
      </c>
      <c r="C39" s="18" t="str">
        <f>Source!G25</f>
        <v>Вода</v>
      </c>
      <c r="D39" s="19" t="str">
        <f>Source!H25</f>
        <v>м3</v>
      </c>
      <c r="E39" s="8">
        <f>Source!I25</f>
        <v>-2496</v>
      </c>
      <c r="F39" s="21">
        <f>Source!AK25</f>
        <v>54.81</v>
      </c>
      <c r="G39" s="23" t="s">
        <v>176</v>
      </c>
      <c r="H39" s="8">
        <f>Source!AW25</f>
        <v>1</v>
      </c>
      <c r="I39" s="8">
        <f>IF(Source!BC25&lt;&gt; 0, Source!BC25, 1)</f>
        <v>1</v>
      </c>
      <c r="J39" s="21">
        <f>Source!O25</f>
        <v>-136805.76000000001</v>
      </c>
      <c r="K39" s="21"/>
      <c r="Q39">
        <f>ROUND((Source!BZ25/100)*ROUND((Source!AF25*Source!AV25)*Source!I25, 2), 2)</f>
        <v>0</v>
      </c>
      <c r="R39">
        <f>Source!X25</f>
        <v>0</v>
      </c>
      <c r="S39">
        <f>ROUND((Source!CA25/100)*ROUND((Source!AF25*Source!AV25)*Source!I25, 2), 2)</f>
        <v>0</v>
      </c>
      <c r="T39">
        <f>Source!Y25</f>
        <v>0</v>
      </c>
      <c r="U39">
        <f>ROUND((175/100)*ROUND((Source!AE25*Source!AV25)*Source!I25, 2), 2)</f>
        <v>0</v>
      </c>
      <c r="V39">
        <f>ROUND((108/100)*ROUND(Source!CS25*Source!I25, 2), 2)</f>
        <v>0</v>
      </c>
    </row>
    <row r="40" spans="1:22" ht="14.5" x14ac:dyDescent="0.35">
      <c r="A40" s="18"/>
      <c r="B40" s="18"/>
      <c r="C40" s="18" t="s">
        <v>177</v>
      </c>
      <c r="D40" s="19" t="s">
        <v>178</v>
      </c>
      <c r="E40" s="8">
        <f>Source!AT24</f>
        <v>70</v>
      </c>
      <c r="F40" s="21"/>
      <c r="G40" s="20"/>
      <c r="H40" s="8"/>
      <c r="I40" s="8"/>
      <c r="J40" s="21">
        <f>SUM(R34:R39)</f>
        <v>619906.56000000006</v>
      </c>
      <c r="K40" s="21"/>
    </row>
    <row r="41" spans="1:22" ht="14.5" x14ac:dyDescent="0.35">
      <c r="A41" s="18"/>
      <c r="B41" s="18"/>
      <c r="C41" s="18" t="s">
        <v>179</v>
      </c>
      <c r="D41" s="19" t="s">
        <v>178</v>
      </c>
      <c r="E41" s="8">
        <f>Source!AU24</f>
        <v>10</v>
      </c>
      <c r="F41" s="21"/>
      <c r="G41" s="20"/>
      <c r="H41" s="8"/>
      <c r="I41" s="8"/>
      <c r="J41" s="21">
        <f>SUM(T34:T40)</f>
        <v>88558.080000000002</v>
      </c>
      <c r="K41" s="21"/>
    </row>
    <row r="42" spans="1:22" ht="14.5" x14ac:dyDescent="0.35">
      <c r="A42" s="18"/>
      <c r="B42" s="18"/>
      <c r="C42" s="18" t="s">
        <v>180</v>
      </c>
      <c r="D42" s="19" t="s">
        <v>178</v>
      </c>
      <c r="E42" s="8">
        <f>108</f>
        <v>108</v>
      </c>
      <c r="F42" s="21"/>
      <c r="G42" s="20"/>
      <c r="H42" s="8"/>
      <c r="I42" s="8"/>
      <c r="J42" s="21">
        <f>SUM(V34:V41)</f>
        <v>2474445.54</v>
      </c>
      <c r="K42" s="21"/>
    </row>
    <row r="43" spans="1:22" ht="14.5" x14ac:dyDescent="0.35">
      <c r="A43" s="18"/>
      <c r="B43" s="18"/>
      <c r="C43" s="18" t="s">
        <v>181</v>
      </c>
      <c r="D43" s="19" t="s">
        <v>182</v>
      </c>
      <c r="E43" s="8">
        <f>Source!AQ24</f>
        <v>0.7</v>
      </c>
      <c r="F43" s="21"/>
      <c r="G43" s="20" t="str">
        <f>Source!DI24</f>
        <v>)*52)*2</v>
      </c>
      <c r="H43" s="8">
        <f>Source!AV24</f>
        <v>1</v>
      </c>
      <c r="I43" s="8"/>
      <c r="J43" s="21"/>
      <c r="K43" s="21">
        <f>Source!U24</f>
        <v>1747.1999999999998</v>
      </c>
    </row>
    <row r="44" spans="1:22" ht="14" x14ac:dyDescent="0.3">
      <c r="A44" s="26"/>
      <c r="B44" s="26"/>
      <c r="C44" s="26"/>
      <c r="D44" s="26"/>
      <c r="E44" s="26"/>
      <c r="F44" s="26"/>
      <c r="G44" s="26"/>
      <c r="H44" s="26"/>
      <c r="I44" s="51">
        <f>J35+J36+J38+J40+J41+J42+SUM(J39:J39)</f>
        <v>9186538.9799999986</v>
      </c>
      <c r="J44" s="51"/>
      <c r="K44" s="27">
        <f>IF(Source!I24&lt;&gt;0, ROUND(I44/Source!I24, 2), 0)</f>
        <v>382772.46</v>
      </c>
      <c r="P44" s="24">
        <f>I44</f>
        <v>9186538.9799999986</v>
      </c>
    </row>
    <row r="45" spans="1:22" ht="42" x14ac:dyDescent="0.35">
      <c r="A45" s="18">
        <v>2</v>
      </c>
      <c r="B45" s="18" t="str">
        <f>Source!F26</f>
        <v>5.3-1101-21-3/1</v>
      </c>
      <c r="C45" s="18" t="str">
        <f>Source!G26</f>
        <v>Санитарное содержание модульного туалета на две кабины - заправка баков водой</v>
      </c>
      <c r="D45" s="19" t="str">
        <f>Source!H26</f>
        <v>1 модуль</v>
      </c>
      <c r="E45" s="8">
        <f>Source!I26</f>
        <v>24</v>
      </c>
      <c r="F45" s="21"/>
      <c r="G45" s="20"/>
      <c r="H45" s="8"/>
      <c r="I45" s="8"/>
      <c r="J45" s="21"/>
      <c r="K45" s="21"/>
      <c r="Q45">
        <f>ROUND((Source!BZ26/100)*ROUND((Source!AF26*Source!AV26)*Source!I26, 2), 2)</f>
        <v>123981.31</v>
      </c>
      <c r="R45">
        <f>Source!X26</f>
        <v>123981.31</v>
      </c>
      <c r="S45">
        <f>ROUND((Source!CA26/100)*ROUND((Source!AF26*Source!AV26)*Source!I26, 2), 2)</f>
        <v>17711.62</v>
      </c>
      <c r="T45">
        <f>Source!Y26</f>
        <v>17711.62</v>
      </c>
      <c r="U45">
        <f>ROUND((175/100)*ROUND((Source!AE26*Source!AV26)*Source!I26, 2), 2)</f>
        <v>969739.68</v>
      </c>
      <c r="V45">
        <f>ROUND((108/100)*ROUND(Source!CS26*Source!I26, 2), 2)</f>
        <v>598467.92000000004</v>
      </c>
    </row>
    <row r="46" spans="1:22" ht="14.5" x14ac:dyDescent="0.35">
      <c r="A46" s="18"/>
      <c r="B46" s="18"/>
      <c r="C46" s="18" t="s">
        <v>172</v>
      </c>
      <c r="D46" s="19"/>
      <c r="E46" s="8"/>
      <c r="F46" s="21">
        <f>Source!AO26</f>
        <v>70.959999999999994</v>
      </c>
      <c r="G46" s="20" t="str">
        <f>Source!DG26</f>
        <v>)*52)*2</v>
      </c>
      <c r="H46" s="8">
        <f>Source!AV26</f>
        <v>1</v>
      </c>
      <c r="I46" s="8">
        <f>IF(Source!BA26&lt;&gt; 0, Source!BA26, 1)</f>
        <v>1</v>
      </c>
      <c r="J46" s="21">
        <f>Source!S26</f>
        <v>177116.16</v>
      </c>
      <c r="K46" s="21"/>
    </row>
    <row r="47" spans="1:22" ht="14.5" x14ac:dyDescent="0.35">
      <c r="A47" s="18"/>
      <c r="B47" s="18"/>
      <c r="C47" s="18" t="s">
        <v>173</v>
      </c>
      <c r="D47" s="19"/>
      <c r="E47" s="8"/>
      <c r="F47" s="21">
        <f>Source!AM26</f>
        <v>557.29</v>
      </c>
      <c r="G47" s="20" t="str">
        <f>Source!DE26</f>
        <v>)*52)*2</v>
      </c>
      <c r="H47" s="8">
        <f>Source!AV26</f>
        <v>1</v>
      </c>
      <c r="I47" s="8">
        <f>IF(Source!BB26&lt;&gt; 0, Source!BB26, 1)</f>
        <v>1</v>
      </c>
      <c r="J47" s="21">
        <f>Source!Q26</f>
        <v>1390995.84</v>
      </c>
      <c r="K47" s="21"/>
    </row>
    <row r="48" spans="1:22" ht="14.5" x14ac:dyDescent="0.35">
      <c r="A48" s="18"/>
      <c r="B48" s="18"/>
      <c r="C48" s="18" t="s">
        <v>174</v>
      </c>
      <c r="D48" s="19"/>
      <c r="E48" s="8"/>
      <c r="F48" s="21">
        <f>Source!AN26</f>
        <v>222.01</v>
      </c>
      <c r="G48" s="20" t="str">
        <f>Source!DF26</f>
        <v>)*52)*2</v>
      </c>
      <c r="H48" s="8">
        <f>Source!AV26</f>
        <v>1</v>
      </c>
      <c r="I48" s="8">
        <f>IF(Source!BS26&lt;&gt; 0, Source!BS26, 1)</f>
        <v>1</v>
      </c>
      <c r="J48" s="22">
        <f>Source!R26</f>
        <v>554136.96</v>
      </c>
      <c r="K48" s="21"/>
    </row>
    <row r="49" spans="1:22" ht="14.5" x14ac:dyDescent="0.35">
      <c r="A49" s="18"/>
      <c r="B49" s="18"/>
      <c r="C49" s="18" t="s">
        <v>175</v>
      </c>
      <c r="D49" s="19"/>
      <c r="E49" s="8"/>
      <c r="F49" s="21">
        <f>Source!AL26</f>
        <v>109.62</v>
      </c>
      <c r="G49" s="20" t="str">
        <f>Source!DD26</f>
        <v>)*52)*2</v>
      </c>
      <c r="H49" s="8">
        <f>Source!AW26</f>
        <v>1</v>
      </c>
      <c r="I49" s="8">
        <f>IF(Source!BC26&lt;&gt; 0, Source!BC26, 1)</f>
        <v>1</v>
      </c>
      <c r="J49" s="21">
        <f>Source!P26</f>
        <v>273611.52000000002</v>
      </c>
      <c r="K49" s="21"/>
    </row>
    <row r="50" spans="1:22" ht="14.5" x14ac:dyDescent="0.35">
      <c r="A50" s="18" t="s">
        <v>31</v>
      </c>
      <c r="B50" s="18" t="str">
        <f>Source!F27</f>
        <v>21.1-25-13</v>
      </c>
      <c r="C50" s="18" t="str">
        <f>Source!G27</f>
        <v>Вода</v>
      </c>
      <c r="D50" s="19" t="str">
        <f>Source!H27</f>
        <v>м3</v>
      </c>
      <c r="E50" s="8">
        <f>Source!I27</f>
        <v>-4992</v>
      </c>
      <c r="F50" s="21">
        <f>Source!AK27</f>
        <v>54.81</v>
      </c>
      <c r="G50" s="23" t="s">
        <v>176</v>
      </c>
      <c r="H50" s="8">
        <f>Source!AW27</f>
        <v>1</v>
      </c>
      <c r="I50" s="8">
        <f>IF(Source!BC27&lt;&gt; 0, Source!BC27, 1)</f>
        <v>1</v>
      </c>
      <c r="J50" s="21">
        <f>Source!O27</f>
        <v>-273611.52000000002</v>
      </c>
      <c r="K50" s="21"/>
      <c r="Q50">
        <f>ROUND((Source!BZ27/100)*ROUND((Source!AF27*Source!AV27)*Source!I27, 2), 2)</f>
        <v>0</v>
      </c>
      <c r="R50">
        <f>Source!X27</f>
        <v>0</v>
      </c>
      <c r="S50">
        <f>ROUND((Source!CA27/100)*ROUND((Source!AF27*Source!AV27)*Source!I27, 2), 2)</f>
        <v>0</v>
      </c>
      <c r="T50">
        <f>Source!Y27</f>
        <v>0</v>
      </c>
      <c r="U50">
        <f>ROUND((175/100)*ROUND((Source!AE27*Source!AV27)*Source!I27, 2), 2)</f>
        <v>0</v>
      </c>
      <c r="V50">
        <f>ROUND((108/100)*ROUND(Source!CS27*Source!I27, 2), 2)</f>
        <v>0</v>
      </c>
    </row>
    <row r="51" spans="1:22" ht="14.5" x14ac:dyDescent="0.35">
      <c r="A51" s="18"/>
      <c r="B51" s="18"/>
      <c r="C51" s="18" t="s">
        <v>177</v>
      </c>
      <c r="D51" s="19" t="s">
        <v>178</v>
      </c>
      <c r="E51" s="8">
        <f>Source!AT26</f>
        <v>70</v>
      </c>
      <c r="F51" s="21"/>
      <c r="G51" s="20"/>
      <c r="H51" s="8"/>
      <c r="I51" s="8"/>
      <c r="J51" s="21">
        <f>SUM(R45:R50)</f>
        <v>123981.31</v>
      </c>
      <c r="K51" s="21"/>
    </row>
    <row r="52" spans="1:22" ht="14.5" x14ac:dyDescent="0.35">
      <c r="A52" s="18"/>
      <c r="B52" s="18"/>
      <c r="C52" s="18" t="s">
        <v>179</v>
      </c>
      <c r="D52" s="19" t="s">
        <v>178</v>
      </c>
      <c r="E52" s="8">
        <f>Source!AU26</f>
        <v>10</v>
      </c>
      <c r="F52" s="21"/>
      <c r="G52" s="20"/>
      <c r="H52" s="8"/>
      <c r="I52" s="8"/>
      <c r="J52" s="21">
        <f>SUM(T45:T51)</f>
        <v>17711.62</v>
      </c>
      <c r="K52" s="21"/>
    </row>
    <row r="53" spans="1:22" ht="14.5" x14ac:dyDescent="0.35">
      <c r="A53" s="18"/>
      <c r="B53" s="18"/>
      <c r="C53" s="18" t="s">
        <v>180</v>
      </c>
      <c r="D53" s="19" t="s">
        <v>178</v>
      </c>
      <c r="E53" s="8">
        <f>108</f>
        <v>108</v>
      </c>
      <c r="F53" s="21"/>
      <c r="G53" s="20"/>
      <c r="H53" s="8"/>
      <c r="I53" s="8"/>
      <c r="J53" s="21">
        <f>SUM(V45:V52)</f>
        <v>598467.92000000004</v>
      </c>
      <c r="K53" s="21"/>
    </row>
    <row r="54" spans="1:22" ht="14.5" x14ac:dyDescent="0.35">
      <c r="A54" s="18"/>
      <c r="B54" s="18"/>
      <c r="C54" s="18" t="s">
        <v>181</v>
      </c>
      <c r="D54" s="19" t="s">
        <v>182</v>
      </c>
      <c r="E54" s="8">
        <f>Source!AQ26</f>
        <v>0.14000000000000001</v>
      </c>
      <c r="F54" s="21"/>
      <c r="G54" s="20" t="str">
        <f>Source!DI26</f>
        <v>)*52)*2</v>
      </c>
      <c r="H54" s="8">
        <f>Source!AV26</f>
        <v>1</v>
      </c>
      <c r="I54" s="8"/>
      <c r="J54" s="21"/>
      <c r="K54" s="21">
        <f>Source!U26</f>
        <v>349.44000000000005</v>
      </c>
    </row>
    <row r="55" spans="1:22" ht="14" x14ac:dyDescent="0.3">
      <c r="A55" s="26"/>
      <c r="B55" s="26"/>
      <c r="C55" s="26"/>
      <c r="D55" s="26"/>
      <c r="E55" s="26"/>
      <c r="F55" s="26"/>
      <c r="G55" s="26"/>
      <c r="H55" s="26"/>
      <c r="I55" s="51">
        <f>J46+J47+J49+J51+J52+J53+SUM(J50:J50)</f>
        <v>2308272.85</v>
      </c>
      <c r="J55" s="51"/>
      <c r="K55" s="27">
        <f>IF(Source!I26&lt;&gt;0, ROUND(I55/Source!I26, 2), 0)</f>
        <v>96178.04</v>
      </c>
      <c r="P55" s="24">
        <f>I55</f>
        <v>2308272.85</v>
      </c>
    </row>
    <row r="56" spans="1:22" ht="56" x14ac:dyDescent="0.35">
      <c r="A56" s="18">
        <v>3</v>
      </c>
      <c r="B56" s="18" t="str">
        <f>Source!F28</f>
        <v>5.3-1101-21-1/1</v>
      </c>
      <c r="C56" s="18" t="str">
        <f>Source!G28</f>
        <v>Санитарное содержание модульного туалета на две кабины - ежедневная уборка модульного туалета и прилегающей санитарной зоны</v>
      </c>
      <c r="D56" s="19" t="str">
        <f>Source!H28</f>
        <v>1 модуль</v>
      </c>
      <c r="E56" s="8">
        <f>Source!I28</f>
        <v>24</v>
      </c>
      <c r="F56" s="21"/>
      <c r="G56" s="20"/>
      <c r="H56" s="8"/>
      <c r="I56" s="8"/>
      <c r="J56" s="21"/>
      <c r="K56" s="21"/>
      <c r="Q56">
        <f>ROUND((Source!BZ28/100)*ROUND((Source!AF28*Source!AV28)*Source!I28, 2), 2)</f>
        <v>1024296</v>
      </c>
      <c r="R56">
        <f>Source!X28</f>
        <v>1024296</v>
      </c>
      <c r="S56">
        <f>ROUND((Source!CA28/100)*ROUND((Source!AF28*Source!AV28)*Source!I28, 2), 2)</f>
        <v>146328</v>
      </c>
      <c r="T56">
        <f>Source!Y28</f>
        <v>146328</v>
      </c>
      <c r="U56">
        <f>ROUND((175/100)*ROUND((Source!AE28*Source!AV28)*Source!I28, 2), 2)</f>
        <v>0</v>
      </c>
      <c r="V56">
        <f>ROUND((108/100)*ROUND(Source!CS28*Source!I28, 2), 2)</f>
        <v>0</v>
      </c>
    </row>
    <row r="57" spans="1:22" ht="14.5" x14ac:dyDescent="0.35">
      <c r="A57" s="18"/>
      <c r="B57" s="18"/>
      <c r="C57" s="18" t="s">
        <v>172</v>
      </c>
      <c r="D57" s="19"/>
      <c r="E57" s="8"/>
      <c r="F57" s="21">
        <f>Source!AO28</f>
        <v>234.5</v>
      </c>
      <c r="G57" s="20" t="str">
        <f>Source!DG28</f>
        <v>)*52)*5</v>
      </c>
      <c r="H57" s="8">
        <f>Source!AV28</f>
        <v>1</v>
      </c>
      <c r="I57" s="8">
        <f>IF(Source!BA28&lt;&gt; 0, Source!BA28, 1)</f>
        <v>1</v>
      </c>
      <c r="J57" s="21">
        <f>Source!S28</f>
        <v>1463280</v>
      </c>
      <c r="K57" s="21"/>
    </row>
    <row r="58" spans="1:22" ht="14.5" x14ac:dyDescent="0.35">
      <c r="A58" s="18"/>
      <c r="B58" s="18"/>
      <c r="C58" s="18" t="s">
        <v>175</v>
      </c>
      <c r="D58" s="19"/>
      <c r="E58" s="8"/>
      <c r="F58" s="21">
        <f>Source!AL28</f>
        <v>22.94</v>
      </c>
      <c r="G58" s="20" t="str">
        <f>Source!DD28</f>
        <v>)*52)*5</v>
      </c>
      <c r="H58" s="8">
        <f>Source!AW28</f>
        <v>1</v>
      </c>
      <c r="I58" s="8">
        <f>IF(Source!BC28&lt;&gt; 0, Source!BC28, 1)</f>
        <v>1</v>
      </c>
      <c r="J58" s="21">
        <f>Source!P28</f>
        <v>143145.60000000001</v>
      </c>
      <c r="K58" s="21"/>
    </row>
    <row r="59" spans="1:22" ht="14.5" x14ac:dyDescent="0.35">
      <c r="A59" s="18" t="s">
        <v>37</v>
      </c>
      <c r="B59" s="18" t="str">
        <f>Source!F29</f>
        <v>21.1-25-13</v>
      </c>
      <c r="C59" s="18" t="str">
        <f>Source!G29</f>
        <v>Вода</v>
      </c>
      <c r="D59" s="19" t="str">
        <f>Source!H29</f>
        <v>м3</v>
      </c>
      <c r="E59" s="8">
        <f>Source!I29</f>
        <v>-187.2</v>
      </c>
      <c r="F59" s="21">
        <f>Source!AK29</f>
        <v>54.81</v>
      </c>
      <c r="G59" s="23" t="s">
        <v>183</v>
      </c>
      <c r="H59" s="8">
        <f>Source!AW29</f>
        <v>1</v>
      </c>
      <c r="I59" s="8">
        <f>IF(Source!BC29&lt;&gt; 0, Source!BC29, 1)</f>
        <v>1</v>
      </c>
      <c r="J59" s="21">
        <f>Source!O29</f>
        <v>-10260.43</v>
      </c>
      <c r="K59" s="21"/>
      <c r="Q59">
        <f>ROUND((Source!BZ29/100)*ROUND((Source!AF29*Source!AV29)*Source!I29, 2), 2)</f>
        <v>0</v>
      </c>
      <c r="R59">
        <f>Source!X29</f>
        <v>0</v>
      </c>
      <c r="S59">
        <f>ROUND((Source!CA29/100)*ROUND((Source!AF29*Source!AV29)*Source!I29, 2), 2)</f>
        <v>0</v>
      </c>
      <c r="T59">
        <f>Source!Y29</f>
        <v>0</v>
      </c>
      <c r="U59">
        <f>ROUND((175/100)*ROUND((Source!AE29*Source!AV29)*Source!I29, 2), 2)</f>
        <v>0</v>
      </c>
      <c r="V59">
        <f>ROUND((108/100)*ROUND(Source!CS29*Source!I29, 2), 2)</f>
        <v>0</v>
      </c>
    </row>
    <row r="60" spans="1:22" ht="14.5" x14ac:dyDescent="0.35">
      <c r="A60" s="18"/>
      <c r="B60" s="18"/>
      <c r="C60" s="18" t="s">
        <v>177</v>
      </c>
      <c r="D60" s="19" t="s">
        <v>178</v>
      </c>
      <c r="E60" s="8">
        <f>Source!AT28</f>
        <v>70</v>
      </c>
      <c r="F60" s="21"/>
      <c r="G60" s="20"/>
      <c r="H60" s="8"/>
      <c r="I60" s="8"/>
      <c r="J60" s="21">
        <f>SUM(R56:R59)</f>
        <v>1024296</v>
      </c>
      <c r="K60" s="21"/>
    </row>
    <row r="61" spans="1:22" ht="14.5" x14ac:dyDescent="0.35">
      <c r="A61" s="18"/>
      <c r="B61" s="18"/>
      <c r="C61" s="18" t="s">
        <v>179</v>
      </c>
      <c r="D61" s="19" t="s">
        <v>178</v>
      </c>
      <c r="E61" s="8">
        <f>Source!AU28</f>
        <v>10</v>
      </c>
      <c r="F61" s="21"/>
      <c r="G61" s="20"/>
      <c r="H61" s="8"/>
      <c r="I61" s="8"/>
      <c r="J61" s="21">
        <f>SUM(T56:T60)</f>
        <v>146328</v>
      </c>
      <c r="K61" s="21"/>
    </row>
    <row r="62" spans="1:22" ht="14.5" x14ac:dyDescent="0.35">
      <c r="A62" s="18"/>
      <c r="B62" s="18"/>
      <c r="C62" s="18" t="s">
        <v>181</v>
      </c>
      <c r="D62" s="19" t="s">
        <v>182</v>
      </c>
      <c r="E62" s="8">
        <f>Source!AQ28</f>
        <v>0.72</v>
      </c>
      <c r="F62" s="21"/>
      <c r="G62" s="20" t="str">
        <f>Source!DI28</f>
        <v>)*52)*5</v>
      </c>
      <c r="H62" s="8">
        <f>Source!AV28</f>
        <v>1</v>
      </c>
      <c r="I62" s="8"/>
      <c r="J62" s="21"/>
      <c r="K62" s="21">
        <f>Source!U28</f>
        <v>4492.7999999999993</v>
      </c>
    </row>
    <row r="63" spans="1:22" ht="14" x14ac:dyDescent="0.3">
      <c r="A63" s="26"/>
      <c r="B63" s="26"/>
      <c r="C63" s="26"/>
      <c r="D63" s="26"/>
      <c r="E63" s="26"/>
      <c r="F63" s="26"/>
      <c r="G63" s="26"/>
      <c r="H63" s="26"/>
      <c r="I63" s="51">
        <f>J57+J58+J60+J61+SUM(J59:J59)</f>
        <v>2766789.17</v>
      </c>
      <c r="J63" s="51"/>
      <c r="K63" s="27">
        <f>IF(Source!I28&lt;&gt;0, ROUND(I63/Source!I28, 2), 0)</f>
        <v>115282.88</v>
      </c>
      <c r="P63" s="24">
        <f>I63</f>
        <v>2766789.17</v>
      </c>
    </row>
    <row r="64" spans="1:22" ht="112" x14ac:dyDescent="0.35">
      <c r="A64" s="18">
        <v>4</v>
      </c>
      <c r="B64" s="18" t="str">
        <f>Source!F30</f>
        <v>5.3-1103-2-1/1</v>
      </c>
      <c r="C64" s="18" t="str">
        <f>Source!G30</f>
        <v>Откачка из накопительного бака (септика) модульного туалета жидких биологических отходов (ЖБО) машиной вакуумной на базе автомобиля с объемом цистерны до 5 м3 с дезодорацией септиков - подготовительные, сопутствующие работы и дезодорация</v>
      </c>
      <c r="D64" s="19" t="str">
        <f>Source!H30</f>
        <v>шт.</v>
      </c>
      <c r="E64" s="8">
        <f>Source!I30</f>
        <v>2</v>
      </c>
      <c r="F64" s="21"/>
      <c r="G64" s="20"/>
      <c r="H64" s="8"/>
      <c r="I64" s="8"/>
      <c r="J64" s="21"/>
      <c r="K64" s="21"/>
      <c r="Q64">
        <f>ROUND((Source!BZ30/100)*ROUND((Source!AF30*Source!AV30)*Source!I30, 2), 2)</f>
        <v>5165.8900000000003</v>
      </c>
      <c r="R64">
        <f>Source!X30</f>
        <v>5165.8900000000003</v>
      </c>
      <c r="S64">
        <f>ROUND((Source!CA30/100)*ROUND((Source!AF30*Source!AV30)*Source!I30, 2), 2)</f>
        <v>737.98</v>
      </c>
      <c r="T64">
        <f>Source!Y30</f>
        <v>737.98</v>
      </c>
      <c r="U64">
        <f>ROUND((175/100)*ROUND((Source!AE30*Source!AV30)*Source!I30, 2), 2)</f>
        <v>14987.7</v>
      </c>
      <c r="V64">
        <f>ROUND((108/100)*ROUND(Source!CS30*Source!I30, 2), 2)</f>
        <v>9249.5499999999993</v>
      </c>
    </row>
    <row r="65" spans="1:22" ht="14.5" x14ac:dyDescent="0.35">
      <c r="A65" s="18"/>
      <c r="B65" s="18"/>
      <c r="C65" s="18" t="s">
        <v>172</v>
      </c>
      <c r="D65" s="19"/>
      <c r="E65" s="8"/>
      <c r="F65" s="21">
        <f>Source!AO30</f>
        <v>141.91999999999999</v>
      </c>
      <c r="G65" s="20" t="str">
        <f>Source!DG30</f>
        <v>)*26</v>
      </c>
      <c r="H65" s="8">
        <f>Source!AV30</f>
        <v>1</v>
      </c>
      <c r="I65" s="8">
        <f>IF(Source!BA30&lt;&gt; 0, Source!BA30, 1)</f>
        <v>1</v>
      </c>
      <c r="J65" s="21">
        <f>Source!S30</f>
        <v>7379.84</v>
      </c>
      <c r="K65" s="21"/>
    </row>
    <row r="66" spans="1:22" ht="14.5" x14ac:dyDescent="0.35">
      <c r="A66" s="18"/>
      <c r="B66" s="18"/>
      <c r="C66" s="18" t="s">
        <v>173</v>
      </c>
      <c r="D66" s="19"/>
      <c r="E66" s="8"/>
      <c r="F66" s="21">
        <f>Source!AM30</f>
        <v>412.23</v>
      </c>
      <c r="G66" s="20" t="str">
        <f>Source!DE30</f>
        <v>)*26</v>
      </c>
      <c r="H66" s="8">
        <f>Source!AV30</f>
        <v>1</v>
      </c>
      <c r="I66" s="8">
        <f>IF(Source!BB30&lt;&gt; 0, Source!BB30, 1)</f>
        <v>1</v>
      </c>
      <c r="J66" s="21">
        <f>Source!Q30</f>
        <v>21435.96</v>
      </c>
      <c r="K66" s="21"/>
    </row>
    <row r="67" spans="1:22" ht="14.5" x14ac:dyDescent="0.35">
      <c r="A67" s="18"/>
      <c r="B67" s="18"/>
      <c r="C67" s="18" t="s">
        <v>174</v>
      </c>
      <c r="D67" s="19"/>
      <c r="E67" s="8"/>
      <c r="F67" s="21">
        <f>Source!AN30</f>
        <v>164.7</v>
      </c>
      <c r="G67" s="20" t="str">
        <f>Source!DF30</f>
        <v>)*26</v>
      </c>
      <c r="H67" s="8">
        <f>Source!AV30</f>
        <v>1</v>
      </c>
      <c r="I67" s="8">
        <f>IF(Source!BS30&lt;&gt; 0, Source!BS30, 1)</f>
        <v>1</v>
      </c>
      <c r="J67" s="22">
        <f>Source!R30</f>
        <v>8564.4</v>
      </c>
      <c r="K67" s="21"/>
    </row>
    <row r="68" spans="1:22" ht="42" x14ac:dyDescent="0.35">
      <c r="A68" s="18" t="s">
        <v>44</v>
      </c>
      <c r="B68" s="18" t="str">
        <f>Source!F31</f>
        <v>21.1-24-99</v>
      </c>
      <c r="C68" s="18" t="str">
        <f>Source!G31</f>
        <v>Средство жидкое концентрированное дезодорирующее для баков накопительных биотуалетных систем</v>
      </c>
      <c r="D68" s="19" t="str">
        <f>Source!H31</f>
        <v>л</v>
      </c>
      <c r="E68" s="8">
        <f>Source!I31</f>
        <v>13</v>
      </c>
      <c r="F68" s="21">
        <f>Source!AK31</f>
        <v>543.51</v>
      </c>
      <c r="G68" s="23" t="s">
        <v>3</v>
      </c>
      <c r="H68" s="8">
        <f>Source!AW31</f>
        <v>1</v>
      </c>
      <c r="I68" s="8">
        <f>IF(Source!BC31&lt;&gt; 0, Source!BC31, 1)</f>
        <v>1</v>
      </c>
      <c r="J68" s="21">
        <f>Source!O31</f>
        <v>7065.63</v>
      </c>
      <c r="K68" s="21"/>
      <c r="Q68">
        <f>ROUND((Source!BZ31/100)*ROUND((Source!AF31*Source!AV31)*Source!I31, 2), 2)</f>
        <v>0</v>
      </c>
      <c r="R68">
        <f>Source!X31</f>
        <v>0</v>
      </c>
      <c r="S68">
        <f>ROUND((Source!CA31/100)*ROUND((Source!AF31*Source!AV31)*Source!I31, 2), 2)</f>
        <v>0</v>
      </c>
      <c r="T68">
        <f>Source!Y31</f>
        <v>0</v>
      </c>
      <c r="U68">
        <f>ROUND((175/100)*ROUND((Source!AE31*Source!AV31)*Source!I31, 2), 2)</f>
        <v>0</v>
      </c>
      <c r="V68">
        <f>ROUND((108/100)*ROUND(Source!CS31*Source!I31, 2), 2)</f>
        <v>0</v>
      </c>
    </row>
    <row r="69" spans="1:22" ht="14.5" x14ac:dyDescent="0.35">
      <c r="A69" s="18"/>
      <c r="B69" s="18"/>
      <c r="C69" s="18" t="s">
        <v>177</v>
      </c>
      <c r="D69" s="19" t="s">
        <v>178</v>
      </c>
      <c r="E69" s="8">
        <f>Source!AT30</f>
        <v>70</v>
      </c>
      <c r="F69" s="21"/>
      <c r="G69" s="20"/>
      <c r="H69" s="8"/>
      <c r="I69" s="8"/>
      <c r="J69" s="21">
        <f>SUM(R64:R68)</f>
        <v>5165.8900000000003</v>
      </c>
      <c r="K69" s="21"/>
    </row>
    <row r="70" spans="1:22" ht="14.5" x14ac:dyDescent="0.35">
      <c r="A70" s="18"/>
      <c r="B70" s="18"/>
      <c r="C70" s="18" t="s">
        <v>179</v>
      </c>
      <c r="D70" s="19" t="s">
        <v>178</v>
      </c>
      <c r="E70" s="8">
        <f>Source!AU30</f>
        <v>10</v>
      </c>
      <c r="F70" s="21"/>
      <c r="G70" s="20"/>
      <c r="H70" s="8"/>
      <c r="I70" s="8"/>
      <c r="J70" s="21">
        <f>SUM(T64:T69)</f>
        <v>737.98</v>
      </c>
      <c r="K70" s="21"/>
    </row>
    <row r="71" spans="1:22" ht="14.5" x14ac:dyDescent="0.35">
      <c r="A71" s="18"/>
      <c r="B71" s="18"/>
      <c r="C71" s="18" t="s">
        <v>180</v>
      </c>
      <c r="D71" s="19" t="s">
        <v>178</v>
      </c>
      <c r="E71" s="8">
        <f>108</f>
        <v>108</v>
      </c>
      <c r="F71" s="21"/>
      <c r="G71" s="20"/>
      <c r="H71" s="8"/>
      <c r="I71" s="8"/>
      <c r="J71" s="21">
        <f>SUM(V64:V70)</f>
        <v>9249.5499999999993</v>
      </c>
      <c r="K71" s="21"/>
    </row>
    <row r="72" spans="1:22" ht="14.5" x14ac:dyDescent="0.35">
      <c r="A72" s="18"/>
      <c r="B72" s="18"/>
      <c r="C72" s="18" t="s">
        <v>181</v>
      </c>
      <c r="D72" s="19" t="s">
        <v>182</v>
      </c>
      <c r="E72" s="8">
        <f>Source!AQ30</f>
        <v>0.28000000000000003</v>
      </c>
      <c r="F72" s="21"/>
      <c r="G72" s="20" t="str">
        <f>Source!DI30</f>
        <v>)*26</v>
      </c>
      <c r="H72" s="8">
        <f>Source!AV30</f>
        <v>1</v>
      </c>
      <c r="I72" s="8"/>
      <c r="J72" s="21"/>
      <c r="K72" s="21">
        <f>Source!U30</f>
        <v>14.560000000000002</v>
      </c>
    </row>
    <row r="73" spans="1:22" ht="14" x14ac:dyDescent="0.3">
      <c r="A73" s="26"/>
      <c r="B73" s="26"/>
      <c r="C73" s="26"/>
      <c r="D73" s="26"/>
      <c r="E73" s="26"/>
      <c r="F73" s="26"/>
      <c r="G73" s="26"/>
      <c r="H73" s="26"/>
      <c r="I73" s="51">
        <f>J65+J66+J69+J70+J71+SUM(J68:J68)</f>
        <v>51034.85</v>
      </c>
      <c r="J73" s="51"/>
      <c r="K73" s="27">
        <f>IF(Source!I30&lt;&gt;0, ROUND(I73/Source!I30, 2), 0)</f>
        <v>25517.43</v>
      </c>
      <c r="P73" s="24">
        <f>I73</f>
        <v>51034.85</v>
      </c>
    </row>
    <row r="74" spans="1:22" ht="84" x14ac:dyDescent="0.35">
      <c r="A74" s="18">
        <v>5</v>
      </c>
      <c r="B74" s="18" t="str">
        <f>Source!F32</f>
        <v>5.3-1103-2-2/1</v>
      </c>
      <c r="C74" s="18" t="str">
        <f>Source!G32</f>
        <v>Откачка из накопительного бака (септика) модульного туалета жидких биологических отходов (ЖБО) машиной вакуумной на базе автомобиля с объемом цистерны до 5 м3 с дезодорацией септиков - откачка</v>
      </c>
      <c r="D74" s="19" t="str">
        <f>Source!H32</f>
        <v>10 м3</v>
      </c>
      <c r="E74" s="8">
        <f>Source!I32</f>
        <v>0.7</v>
      </c>
      <c r="F74" s="21"/>
      <c r="G74" s="20"/>
      <c r="H74" s="8"/>
      <c r="I74" s="8"/>
      <c r="J74" s="21"/>
      <c r="K74" s="21"/>
      <c r="Q74">
        <f>ROUND((Source!BZ32/100)*ROUND((Source!AF32*Source!AV32)*Source!I32, 2), 2)</f>
        <v>2066.3000000000002</v>
      </c>
      <c r="R74">
        <f>Source!X32</f>
        <v>2066.3000000000002</v>
      </c>
      <c r="S74">
        <f>ROUND((Source!CA32/100)*ROUND((Source!AF32*Source!AV32)*Source!I32, 2), 2)</f>
        <v>295.19</v>
      </c>
      <c r="T74">
        <f>Source!Y32</f>
        <v>295.19</v>
      </c>
      <c r="U74">
        <f>ROUND((175/100)*ROUND((Source!AE32*Source!AV32)*Source!I32, 2), 2)</f>
        <v>8023.02</v>
      </c>
      <c r="V74">
        <f>ROUND((108/100)*ROUND(Source!CS32*Source!I32, 2), 2)</f>
        <v>4951.3500000000004</v>
      </c>
    </row>
    <row r="75" spans="1:22" x14ac:dyDescent="0.25">
      <c r="C75" s="28" t="str">
        <f>"Объем: "&amp;Source!I32&amp;"=7/"&amp;"10"</f>
        <v>Объем: 0,7=7/10</v>
      </c>
    </row>
    <row r="76" spans="1:22" ht="14.5" x14ac:dyDescent="0.35">
      <c r="A76" s="18"/>
      <c r="B76" s="18"/>
      <c r="C76" s="18" t="s">
        <v>172</v>
      </c>
      <c r="D76" s="19"/>
      <c r="E76" s="8"/>
      <c r="F76" s="21">
        <f>Source!AO32</f>
        <v>162.19</v>
      </c>
      <c r="G76" s="20" t="str">
        <f>Source!DG32</f>
        <v>)*26</v>
      </c>
      <c r="H76" s="8">
        <f>Source!AV32</f>
        <v>1</v>
      </c>
      <c r="I76" s="8">
        <f>IF(Source!BA32&lt;&gt; 0, Source!BA32, 1)</f>
        <v>1</v>
      </c>
      <c r="J76" s="21">
        <f>Source!S32</f>
        <v>2951.86</v>
      </c>
      <c r="K76" s="21"/>
    </row>
    <row r="77" spans="1:22" ht="14.5" x14ac:dyDescent="0.35">
      <c r="A77" s="18"/>
      <c r="B77" s="18"/>
      <c r="C77" s="18" t="s">
        <v>173</v>
      </c>
      <c r="D77" s="19"/>
      <c r="E77" s="8"/>
      <c r="F77" s="21">
        <f>Source!AM32</f>
        <v>630.47</v>
      </c>
      <c r="G77" s="20" t="str">
        <f>Source!DE32</f>
        <v>)*26</v>
      </c>
      <c r="H77" s="8">
        <f>Source!AV32</f>
        <v>1</v>
      </c>
      <c r="I77" s="8">
        <f>IF(Source!BB32&lt;&gt; 0, Source!BB32, 1)</f>
        <v>1</v>
      </c>
      <c r="J77" s="21">
        <f>Source!Q32</f>
        <v>11474.55</v>
      </c>
      <c r="K77" s="21"/>
    </row>
    <row r="78" spans="1:22" ht="14.5" x14ac:dyDescent="0.35">
      <c r="A78" s="18"/>
      <c r="B78" s="18"/>
      <c r="C78" s="18" t="s">
        <v>174</v>
      </c>
      <c r="D78" s="19"/>
      <c r="E78" s="8"/>
      <c r="F78" s="21">
        <f>Source!AN32</f>
        <v>251.9</v>
      </c>
      <c r="G78" s="20" t="str">
        <f>Source!DF32</f>
        <v>)*26</v>
      </c>
      <c r="H78" s="8">
        <f>Source!AV32</f>
        <v>1</v>
      </c>
      <c r="I78" s="8">
        <f>IF(Source!BS32&lt;&gt; 0, Source!BS32, 1)</f>
        <v>1</v>
      </c>
      <c r="J78" s="22">
        <f>Source!R32</f>
        <v>4584.58</v>
      </c>
      <c r="K78" s="21"/>
    </row>
    <row r="79" spans="1:22" ht="14.5" x14ac:dyDescent="0.35">
      <c r="A79" s="18"/>
      <c r="B79" s="18"/>
      <c r="C79" s="18" t="s">
        <v>177</v>
      </c>
      <c r="D79" s="19" t="s">
        <v>178</v>
      </c>
      <c r="E79" s="8">
        <f>Source!AT32</f>
        <v>70</v>
      </c>
      <c r="F79" s="21"/>
      <c r="G79" s="20"/>
      <c r="H79" s="8"/>
      <c r="I79" s="8"/>
      <c r="J79" s="21">
        <f>SUM(R74:R78)</f>
        <v>2066.3000000000002</v>
      </c>
      <c r="K79" s="21"/>
    </row>
    <row r="80" spans="1:22" ht="14.5" x14ac:dyDescent="0.35">
      <c r="A80" s="18"/>
      <c r="B80" s="18"/>
      <c r="C80" s="18" t="s">
        <v>179</v>
      </c>
      <c r="D80" s="19" t="s">
        <v>178</v>
      </c>
      <c r="E80" s="8">
        <f>Source!AU32</f>
        <v>10</v>
      </c>
      <c r="F80" s="21"/>
      <c r="G80" s="20"/>
      <c r="H80" s="8"/>
      <c r="I80" s="8"/>
      <c r="J80" s="21">
        <f>SUM(T74:T79)</f>
        <v>295.19</v>
      </c>
      <c r="K80" s="21"/>
    </row>
    <row r="81" spans="1:22" ht="14.5" x14ac:dyDescent="0.35">
      <c r="A81" s="18"/>
      <c r="B81" s="18"/>
      <c r="C81" s="18" t="s">
        <v>180</v>
      </c>
      <c r="D81" s="19" t="s">
        <v>178</v>
      </c>
      <c r="E81" s="8">
        <f>108</f>
        <v>108</v>
      </c>
      <c r="F81" s="21"/>
      <c r="G81" s="20"/>
      <c r="H81" s="8"/>
      <c r="I81" s="8"/>
      <c r="J81" s="21">
        <f>SUM(V74:V80)</f>
        <v>4951.3500000000004</v>
      </c>
      <c r="K81" s="21"/>
    </row>
    <row r="82" spans="1:22" ht="14.5" x14ac:dyDescent="0.35">
      <c r="A82" s="18"/>
      <c r="B82" s="18"/>
      <c r="C82" s="18" t="s">
        <v>181</v>
      </c>
      <c r="D82" s="19" t="s">
        <v>182</v>
      </c>
      <c r="E82" s="8">
        <f>Source!AQ32</f>
        <v>0.32</v>
      </c>
      <c r="F82" s="21"/>
      <c r="G82" s="20" t="str">
        <f>Source!DI32</f>
        <v>)*26</v>
      </c>
      <c r="H82" s="8">
        <f>Source!AV32</f>
        <v>1</v>
      </c>
      <c r="I82" s="8"/>
      <c r="J82" s="21"/>
      <c r="K82" s="21">
        <f>Source!U32</f>
        <v>5.8239999999999998</v>
      </c>
    </row>
    <row r="83" spans="1:22" ht="14" x14ac:dyDescent="0.3">
      <c r="A83" s="26"/>
      <c r="B83" s="26"/>
      <c r="C83" s="26"/>
      <c r="D83" s="26"/>
      <c r="E83" s="26"/>
      <c r="F83" s="26"/>
      <c r="G83" s="26"/>
      <c r="H83" s="26"/>
      <c r="I83" s="51">
        <f>J76+J77+J79+J80+J81</f>
        <v>21739.25</v>
      </c>
      <c r="J83" s="51"/>
      <c r="K83" s="27">
        <f>IF(Source!I32&lt;&gt;0, ROUND(I83/Source!I32, 2), 0)</f>
        <v>31056.07</v>
      </c>
      <c r="P83" s="24">
        <f>I83</f>
        <v>21739.25</v>
      </c>
    </row>
    <row r="84" spans="1:22" ht="69" x14ac:dyDescent="0.35">
      <c r="A84" s="18">
        <v>6</v>
      </c>
      <c r="B84" s="18" t="str">
        <f>Source!F33</f>
        <v>ена поставщика</v>
      </c>
      <c r="C84" s="18" t="s">
        <v>184</v>
      </c>
      <c r="D84" s="19" t="str">
        <f>Source!H33</f>
        <v>шт.</v>
      </c>
      <c r="E84" s="8">
        <f>Source!I33</f>
        <v>10767</v>
      </c>
      <c r="F84" s="21">
        <f>Source!AL33</f>
        <v>16.670000000000002</v>
      </c>
      <c r="G84" s="20" t="str">
        <f>Source!DD33</f>
        <v/>
      </c>
      <c r="H84" s="8">
        <f>Source!AW33</f>
        <v>1</v>
      </c>
      <c r="I84" s="8">
        <f>IF(Source!BC33&lt;&gt; 0, Source!BC33, 1)</f>
        <v>1</v>
      </c>
      <c r="J84" s="21">
        <f>Source!P33</f>
        <v>179485.89</v>
      </c>
      <c r="K84" s="21"/>
      <c r="Q84">
        <f>ROUND((Source!BZ33/100)*ROUND((Source!AF33*Source!AV33)*Source!I33, 2), 2)</f>
        <v>0</v>
      </c>
      <c r="R84">
        <f>Source!X33</f>
        <v>0</v>
      </c>
      <c r="S84">
        <f>ROUND((Source!CA33/100)*ROUND((Source!AF33*Source!AV33)*Source!I33, 2), 2)</f>
        <v>0</v>
      </c>
      <c r="T84">
        <f>Source!Y33</f>
        <v>0</v>
      </c>
      <c r="U84">
        <f>ROUND((175/100)*ROUND((Source!AE33*Source!AV33)*Source!I33, 2), 2)</f>
        <v>0</v>
      </c>
      <c r="V84">
        <f>ROUND((108/100)*ROUND(Source!CS33*Source!I33, 2), 2)</f>
        <v>0</v>
      </c>
    </row>
    <row r="85" spans="1:22" ht="14" x14ac:dyDescent="0.3">
      <c r="A85" s="26"/>
      <c r="B85" s="26"/>
      <c r="C85" s="26"/>
      <c r="D85" s="26"/>
      <c r="E85" s="26"/>
      <c r="F85" s="26"/>
      <c r="G85" s="26"/>
      <c r="H85" s="26"/>
      <c r="I85" s="51">
        <f>J84</f>
        <v>179485.89</v>
      </c>
      <c r="J85" s="51"/>
      <c r="K85" s="27">
        <f>IF(Source!I33&lt;&gt;0, ROUND(I85/Source!I33, 2), 0)</f>
        <v>16.670000000000002</v>
      </c>
      <c r="P85" s="24">
        <f>I85</f>
        <v>179485.89</v>
      </c>
    </row>
    <row r="87" spans="1:22" ht="14" x14ac:dyDescent="0.3">
      <c r="A87" s="43" t="str">
        <f>CONCATENATE("Итого по локальной смете: ",IF(Source!G35&lt;&gt;"Новая локальная смета", Source!G35, ""))</f>
        <v xml:space="preserve">Итого по локальной смете: </v>
      </c>
      <c r="B87" s="43"/>
      <c r="C87" s="43"/>
      <c r="D87" s="43"/>
      <c r="E87" s="43"/>
      <c r="F87" s="43"/>
      <c r="G87" s="43"/>
      <c r="H87" s="43"/>
      <c r="I87" s="44">
        <f>SUM(P33:P86)</f>
        <v>14513860.989999998</v>
      </c>
      <c r="J87" s="45"/>
      <c r="K87" s="29"/>
    </row>
    <row r="90" spans="1:22" ht="14" x14ac:dyDescent="0.3">
      <c r="A90" s="43" t="str">
        <f>CONCATENATE("Итого по смете: ",IF(Source!G65&lt;&gt;"Новый объект", Source!G65, ""))</f>
        <v>Итого по смете: Содержание биотуалетов</v>
      </c>
      <c r="B90" s="43"/>
      <c r="C90" s="43"/>
      <c r="D90" s="43"/>
      <c r="E90" s="43"/>
      <c r="F90" s="43"/>
      <c r="G90" s="43"/>
      <c r="H90" s="43"/>
      <c r="I90" s="44">
        <f>SUM(P1:P89)</f>
        <v>14513860.989999998</v>
      </c>
      <c r="J90" s="45"/>
      <c r="K90" s="29"/>
    </row>
    <row r="91" spans="1:22" ht="14" x14ac:dyDescent="0.3">
      <c r="C91" s="46" t="str">
        <f>Source!H94</f>
        <v>НДС 22%</v>
      </c>
      <c r="D91" s="46"/>
      <c r="E91" s="46"/>
      <c r="F91" s="46"/>
      <c r="G91" s="46"/>
      <c r="H91" s="46"/>
      <c r="I91" s="47">
        <f>IF(Source!F94=0, "", Source!F94)</f>
        <v>3193049.42</v>
      </c>
      <c r="J91" s="47"/>
    </row>
    <row r="92" spans="1:22" ht="14" x14ac:dyDescent="0.3">
      <c r="C92" s="46" t="str">
        <f>Source!H95</f>
        <v>Итого с НДС</v>
      </c>
      <c r="D92" s="46"/>
      <c r="E92" s="46"/>
      <c r="F92" s="46"/>
      <c r="G92" s="46"/>
      <c r="H92" s="46"/>
      <c r="I92" s="47">
        <f>IF(Source!F95=0, "", Source!F95)</f>
        <v>17706910.41</v>
      </c>
      <c r="J92" s="47"/>
    </row>
    <row r="95" spans="1:22" ht="14" x14ac:dyDescent="0.3">
      <c r="A95" s="41" t="s">
        <v>185</v>
      </c>
      <c r="B95" s="41"/>
      <c r="C95" s="30" t="str">
        <f>IF(Source!AC12&lt;&gt;"", Source!AC12," ")</f>
        <v xml:space="preserve"> </v>
      </c>
      <c r="D95" s="30"/>
      <c r="E95" s="30"/>
      <c r="F95" s="30"/>
      <c r="G95" s="30"/>
      <c r="H95" s="9" t="str">
        <f>IF(Source!AB12&lt;&gt;"", Source!AB12," ")</f>
        <v xml:space="preserve"> </v>
      </c>
      <c r="I95" s="9"/>
      <c r="J95" s="9"/>
      <c r="K95" s="9"/>
    </row>
    <row r="96" spans="1:22" ht="14" x14ac:dyDescent="0.3">
      <c r="A96" s="9"/>
      <c r="B96" s="9"/>
      <c r="C96" s="42" t="s">
        <v>186</v>
      </c>
      <c r="D96" s="42"/>
      <c r="E96" s="42"/>
      <c r="F96" s="42"/>
      <c r="G96" s="42"/>
      <c r="H96" s="9"/>
      <c r="I96" s="9"/>
      <c r="J96" s="9"/>
      <c r="K96" s="9"/>
    </row>
    <row r="97" spans="1:11" ht="14" x14ac:dyDescent="0.3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1:11" ht="14" x14ac:dyDescent="0.3">
      <c r="A98" s="41" t="s">
        <v>187</v>
      </c>
      <c r="B98" s="41"/>
      <c r="C98" s="30" t="str">
        <f>IF(Source!AE12&lt;&gt;"", Source!AE12," ")</f>
        <v xml:space="preserve"> </v>
      </c>
      <c r="D98" s="30"/>
      <c r="E98" s="30"/>
      <c r="F98" s="30"/>
      <c r="G98" s="30"/>
      <c r="H98" s="9" t="str">
        <f>IF(Source!AD12&lt;&gt;"", Source!AD12," ")</f>
        <v xml:space="preserve"> </v>
      </c>
      <c r="I98" s="9"/>
      <c r="J98" s="9"/>
      <c r="K98" s="9"/>
    </row>
    <row r="99" spans="1:11" ht="14" x14ac:dyDescent="0.3">
      <c r="A99" s="9"/>
      <c r="B99" s="9"/>
      <c r="C99" s="42" t="s">
        <v>186</v>
      </c>
      <c r="D99" s="42"/>
      <c r="E99" s="42"/>
      <c r="F99" s="42"/>
      <c r="G99" s="42"/>
      <c r="H99" s="9"/>
      <c r="I99" s="9"/>
      <c r="J99" s="9"/>
      <c r="K99" s="9"/>
    </row>
  </sheetData>
  <mergeCells count="57">
    <mergeCell ref="J2:K2"/>
    <mergeCell ref="A10:K10"/>
    <mergeCell ref="A11:K11"/>
    <mergeCell ref="A14:K14"/>
    <mergeCell ref="A16:K16"/>
    <mergeCell ref="A13:K13"/>
    <mergeCell ref="B3:E3"/>
    <mergeCell ref="G3:K3"/>
    <mergeCell ref="B4:E4"/>
    <mergeCell ref="G4:K4"/>
    <mergeCell ref="B6:E6"/>
    <mergeCell ref="G6:K6"/>
    <mergeCell ref="B7:E7"/>
    <mergeCell ref="G7:K7"/>
    <mergeCell ref="A17:K17"/>
    <mergeCell ref="A19:K19"/>
    <mergeCell ref="F21:H21"/>
    <mergeCell ref="I21:J21"/>
    <mergeCell ref="F22:H22"/>
    <mergeCell ref="I22:J22"/>
    <mergeCell ref="F23:H23"/>
    <mergeCell ref="I23:J23"/>
    <mergeCell ref="F24:H24"/>
    <mergeCell ref="I24:J24"/>
    <mergeCell ref="F25:H25"/>
    <mergeCell ref="I25:J25"/>
    <mergeCell ref="F26:H26"/>
    <mergeCell ref="I26:J26"/>
    <mergeCell ref="A28:A30"/>
    <mergeCell ref="B28:B30"/>
    <mergeCell ref="C28:C30"/>
    <mergeCell ref="D28:D30"/>
    <mergeCell ref="E28:E30"/>
    <mergeCell ref="F28:F30"/>
    <mergeCell ref="I87:J87"/>
    <mergeCell ref="G28:G30"/>
    <mergeCell ref="H28:H30"/>
    <mergeCell ref="I28:I30"/>
    <mergeCell ref="J28:J30"/>
    <mergeCell ref="A33:K33"/>
    <mergeCell ref="I44:J44"/>
    <mergeCell ref="I55:J55"/>
    <mergeCell ref="I63:J63"/>
    <mergeCell ref="I73:J73"/>
    <mergeCell ref="I83:J83"/>
    <mergeCell ref="I85:J85"/>
    <mergeCell ref="I90:J90"/>
    <mergeCell ref="A90:H90"/>
    <mergeCell ref="C91:H91"/>
    <mergeCell ref="I91:J91"/>
    <mergeCell ref="C92:H92"/>
    <mergeCell ref="I92:J92"/>
    <mergeCell ref="A95:B95"/>
    <mergeCell ref="C96:G96"/>
    <mergeCell ref="A98:B98"/>
    <mergeCell ref="C99:G99"/>
    <mergeCell ref="A87:H87"/>
  </mergeCells>
  <pageMargins left="0.4" right="0.2" top="0.2" bottom="0.4" header="0.2" footer="0.2"/>
  <pageSetup paperSize="9" scale="64" fitToHeight="0" orientation="portrait" r:id="rId1"/>
  <headerFooter>
    <oddHeader>&amp;L&amp;8</oddHead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97CEB-156E-4172-9264-171033AD29B3}">
  <dimension ref="A1:CY12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03" x14ac:dyDescent="0.25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75383</v>
      </c>
      <c r="M1">
        <v>10</v>
      </c>
      <c r="N1">
        <v>11</v>
      </c>
      <c r="O1">
        <v>15</v>
      </c>
      <c r="P1">
        <v>0</v>
      </c>
      <c r="Q1">
        <v>1</v>
      </c>
    </row>
    <row r="12" spans="1:103" x14ac:dyDescent="0.25">
      <c r="F12" t="str">
        <f>Source!F12</f>
        <v>Новый объект</v>
      </c>
      <c r="G12" t="str">
        <f>Source!G12</f>
        <v>Содержание биотуалетов</v>
      </c>
      <c r="AB12" t="s">
        <v>3</v>
      </c>
      <c r="AC12" t="s">
        <v>3</v>
      </c>
      <c r="AD12" t="s">
        <v>3</v>
      </c>
      <c r="AE12" t="s">
        <v>3</v>
      </c>
      <c r="AF12" t="s">
        <v>3</v>
      </c>
      <c r="AG12" t="s">
        <v>3</v>
      </c>
      <c r="AH12" t="s">
        <v>3</v>
      </c>
      <c r="AI12" t="s">
        <v>3</v>
      </c>
      <c r="AJ12">
        <v>0</v>
      </c>
      <c r="AK12" t="s">
        <v>3</v>
      </c>
      <c r="AL12" t="s">
        <v>3</v>
      </c>
      <c r="AM12" t="s">
        <v>3</v>
      </c>
      <c r="CY1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CD38F-894D-47A6-8754-967708EB686F}">
  <sheetPr>
    <pageSetUpPr fitToPage="1"/>
  </sheetPr>
  <dimension ref="A1:F31"/>
  <sheetViews>
    <sheetView zoomScaleNormal="100" workbookViewId="0"/>
  </sheetViews>
  <sheetFormatPr defaultRowHeight="12.5" x14ac:dyDescent="0.25"/>
  <cols>
    <col min="1" max="2" width="6.6328125" customWidth="1"/>
    <col min="3" max="3" width="75.6328125" customWidth="1"/>
    <col min="4" max="6" width="15.6328125" customWidth="1"/>
    <col min="30" max="32" width="0" hidden="1" customWidth="1"/>
  </cols>
  <sheetData>
    <row r="1" spans="1:6" x14ac:dyDescent="0.25">
      <c r="A1" s="7" t="str">
        <f>Source!B1</f>
        <v>Smeta.RU Flash  (495) 974-1589</v>
      </c>
    </row>
    <row r="2" spans="1:6" ht="14" x14ac:dyDescent="0.3">
      <c r="D2" s="9"/>
      <c r="E2" s="9"/>
    </row>
    <row r="3" spans="1:6" ht="14" x14ac:dyDescent="0.3">
      <c r="D3" s="9"/>
      <c r="E3" s="25" t="s">
        <v>145</v>
      </c>
    </row>
    <row r="4" spans="1:6" ht="14" x14ac:dyDescent="0.3">
      <c r="D4" s="25"/>
      <c r="E4" s="25"/>
    </row>
    <row r="5" spans="1:6" ht="14" x14ac:dyDescent="0.3">
      <c r="D5" s="45" t="s">
        <v>188</v>
      </c>
      <c r="E5" s="45"/>
    </row>
    <row r="6" spans="1:6" ht="14" x14ac:dyDescent="0.3">
      <c r="D6" s="25"/>
      <c r="E6" s="25"/>
    </row>
    <row r="7" spans="1:6" ht="14" x14ac:dyDescent="0.3">
      <c r="D7" s="45" t="s">
        <v>188</v>
      </c>
      <c r="E7" s="45"/>
    </row>
    <row r="8" spans="1:6" ht="14" x14ac:dyDescent="0.3">
      <c r="D8" s="25"/>
      <c r="E8" s="25"/>
    </row>
    <row r="9" spans="1:6" ht="14" x14ac:dyDescent="0.3">
      <c r="D9" s="25" t="s">
        <v>189</v>
      </c>
      <c r="E9" s="9"/>
    </row>
    <row r="10" spans="1:6" ht="14" x14ac:dyDescent="0.3">
      <c r="D10" s="9"/>
      <c r="E10" s="9"/>
    </row>
    <row r="12" spans="1:6" ht="15.5" x14ac:dyDescent="0.25">
      <c r="B12" s="60" t="str">
        <f>CONCATENATE("Ведомость объемов работ ", IF(Source!AN15&lt;&gt;"", Source!AN15," "))</f>
        <v xml:space="preserve">Ведомость объемов работ  </v>
      </c>
      <c r="C12" s="60"/>
      <c r="D12" s="60"/>
      <c r="E12" s="60"/>
    </row>
    <row r="13" spans="1:6" ht="14" x14ac:dyDescent="0.25">
      <c r="B13" s="61" t="str">
        <f>Source!G12</f>
        <v>Содержание биотуалетов</v>
      </c>
      <c r="C13" s="61"/>
      <c r="D13" s="61"/>
      <c r="E13" s="61"/>
    </row>
    <row r="14" spans="1:6" ht="14" x14ac:dyDescent="0.25">
      <c r="B14" s="61" t="str">
        <f>Source!G20</f>
        <v>Новая локальная смета</v>
      </c>
      <c r="C14" s="61"/>
      <c r="D14" s="61"/>
      <c r="E14" s="61"/>
    </row>
    <row r="16" spans="1:6" ht="28" x14ac:dyDescent="0.25">
      <c r="A16" s="31" t="s">
        <v>190</v>
      </c>
      <c r="B16" s="31" t="s">
        <v>191</v>
      </c>
      <c r="C16" s="31" t="s">
        <v>160</v>
      </c>
      <c r="D16" s="31" t="s">
        <v>161</v>
      </c>
      <c r="E16" s="31" t="s">
        <v>192</v>
      </c>
      <c r="F16" s="31" t="s">
        <v>193</v>
      </c>
    </row>
    <row r="17" spans="1:6" ht="14" x14ac:dyDescent="0.25">
      <c r="A17" s="31">
        <v>1</v>
      </c>
      <c r="B17" s="31">
        <v>2</v>
      </c>
      <c r="C17" s="31">
        <v>3</v>
      </c>
      <c r="D17" s="31">
        <v>4</v>
      </c>
      <c r="E17" s="31">
        <v>5</v>
      </c>
      <c r="F17" s="31">
        <v>6</v>
      </c>
    </row>
    <row r="18" spans="1:6" ht="28" x14ac:dyDescent="0.25">
      <c r="A18" s="31">
        <v>1</v>
      </c>
      <c r="B18" s="31" t="str">
        <f>Source!E24</f>
        <v>1</v>
      </c>
      <c r="C18" s="34" t="str">
        <f>Source!G24</f>
        <v>Санитарное содержание модульного туалета на две кабины - откачка из септиков жидких биологических отходов (ЖБО) с дезодорацией септиков</v>
      </c>
      <c r="D18" s="31" t="s">
        <v>16</v>
      </c>
      <c r="E18" s="35">
        <f>Source!I24</f>
        <v>24</v>
      </c>
      <c r="F18" s="34"/>
    </row>
    <row r="19" spans="1:6" ht="14" x14ac:dyDescent="0.25">
      <c r="A19" s="31">
        <v>1.1000000000000001</v>
      </c>
      <c r="B19" s="31" t="str">
        <f>Source!E25</f>
        <v>1,1</v>
      </c>
      <c r="C19" s="34" t="str">
        <f>Source!G25</f>
        <v>Вода</v>
      </c>
      <c r="D19" s="31" t="s">
        <v>25</v>
      </c>
      <c r="E19" s="35">
        <f>Source!I25</f>
        <v>-2496</v>
      </c>
      <c r="F19" s="34"/>
    </row>
    <row r="20" spans="1:6" ht="28" x14ac:dyDescent="0.25">
      <c r="A20" s="31">
        <v>2</v>
      </c>
      <c r="B20" s="31" t="str">
        <f>Source!E26</f>
        <v>2</v>
      </c>
      <c r="C20" s="34" t="str">
        <f>Source!G26</f>
        <v>Санитарное содержание модульного туалета на две кабины - заправка баков водой</v>
      </c>
      <c r="D20" s="31" t="s">
        <v>16</v>
      </c>
      <c r="E20" s="35">
        <f>Source!I26</f>
        <v>24</v>
      </c>
      <c r="F20" s="34"/>
    </row>
    <row r="21" spans="1:6" ht="14" x14ac:dyDescent="0.25">
      <c r="A21" s="31">
        <v>2.1</v>
      </c>
      <c r="B21" s="31" t="str">
        <f>Source!E27</f>
        <v>2,1</v>
      </c>
      <c r="C21" s="34" t="str">
        <f>Source!G27</f>
        <v>Вода</v>
      </c>
      <c r="D21" s="31" t="s">
        <v>25</v>
      </c>
      <c r="E21" s="35">
        <f>Source!I27</f>
        <v>-4992</v>
      </c>
      <c r="F21" s="34"/>
    </row>
    <row r="22" spans="1:6" ht="28" x14ac:dyDescent="0.25">
      <c r="A22" s="31">
        <v>3</v>
      </c>
      <c r="B22" s="31" t="str">
        <f>Source!E28</f>
        <v>3</v>
      </c>
      <c r="C22" s="34" t="str">
        <f>Source!G28</f>
        <v>Санитарное содержание модульного туалета на две кабины - ежедневная уборка модульного туалета и прилегающей санитарной зоны</v>
      </c>
      <c r="D22" s="31" t="s">
        <v>16</v>
      </c>
      <c r="E22" s="35">
        <f>Source!I28</f>
        <v>24</v>
      </c>
      <c r="F22" s="34"/>
    </row>
    <row r="23" spans="1:6" ht="14" x14ac:dyDescent="0.25">
      <c r="A23" s="31">
        <v>3.1</v>
      </c>
      <c r="B23" s="31" t="str">
        <f>Source!E29</f>
        <v>3,1</v>
      </c>
      <c r="C23" s="34" t="str">
        <f>Source!G29</f>
        <v>Вода</v>
      </c>
      <c r="D23" s="31" t="s">
        <v>25</v>
      </c>
      <c r="E23" s="35">
        <f>Source!I29</f>
        <v>-187.2</v>
      </c>
      <c r="F23" s="34"/>
    </row>
    <row r="24" spans="1:6" ht="56" x14ac:dyDescent="0.25">
      <c r="A24" s="31">
        <v>4</v>
      </c>
      <c r="B24" s="31" t="str">
        <f>Source!E30</f>
        <v>4</v>
      </c>
      <c r="C24" s="34" t="str">
        <f>Source!G30</f>
        <v>Откачка из накопительного бака (септика) модульного туалета жидких биологических отходов (ЖБО) машиной вакуумной на базе автомобиля с объемом цистерны до 5 м3 с дезодорацией септиков - подготовительные, сопутствующие работы и дезодорация</v>
      </c>
      <c r="D24" s="31" t="s">
        <v>41</v>
      </c>
      <c r="E24" s="35">
        <f>Source!I30</f>
        <v>2</v>
      </c>
      <c r="F24" s="34"/>
    </row>
    <row r="25" spans="1:6" ht="28" x14ac:dyDescent="0.25">
      <c r="A25" s="31">
        <v>4.0999999999999996</v>
      </c>
      <c r="B25" s="31" t="str">
        <f>Source!E31</f>
        <v>4,1</v>
      </c>
      <c r="C25" s="34" t="str">
        <f>Source!G31</f>
        <v>Средство жидкое концентрированное дезодорирующее для баков накопительных биотуалетных систем</v>
      </c>
      <c r="D25" s="31" t="s">
        <v>47</v>
      </c>
      <c r="E25" s="35">
        <f>Source!I31</f>
        <v>13</v>
      </c>
      <c r="F25" s="34"/>
    </row>
    <row r="26" spans="1:6" ht="42" x14ac:dyDescent="0.25">
      <c r="A26" s="17">
        <v>5</v>
      </c>
      <c r="B26" s="17" t="str">
        <f>Source!E32</f>
        <v>5</v>
      </c>
      <c r="C26" s="32" t="str">
        <f>Source!G32</f>
        <v>Откачка из накопительного бака (септика) модульного туалета жидких биологических отходов (ЖБО) машиной вакуумной на базе автомобиля с объемом цистерны до 5 м3 с дезодорацией септиков - откачка</v>
      </c>
      <c r="D26" s="17" t="s">
        <v>52</v>
      </c>
      <c r="E26" s="33">
        <f>Source!I32</f>
        <v>0.7</v>
      </c>
      <c r="F26" s="32"/>
    </row>
    <row r="29" spans="1:6" ht="14" x14ac:dyDescent="0.3">
      <c r="C29" s="36" t="s">
        <v>194</v>
      </c>
      <c r="D29" s="36" t="str">
        <f>IF(Source!X12&lt;&gt;"", Source!X12," ")</f>
        <v xml:space="preserve"> </v>
      </c>
      <c r="E29" s="29"/>
    </row>
    <row r="30" spans="1:6" ht="14" x14ac:dyDescent="0.3">
      <c r="C30" s="9"/>
      <c r="D30" s="29"/>
      <c r="E30" s="29"/>
    </row>
    <row r="31" spans="1:6" ht="14" x14ac:dyDescent="0.3">
      <c r="C31" s="36" t="s">
        <v>195</v>
      </c>
      <c r="D31" s="36" t="str">
        <f>IF(Source!AB12&lt;&gt;"", Source!AB12," ")</f>
        <v xml:space="preserve"> </v>
      </c>
      <c r="E31" s="29"/>
    </row>
  </sheetData>
  <mergeCells count="5">
    <mergeCell ref="D5:E5"/>
    <mergeCell ref="D7:E7"/>
    <mergeCell ref="B12:E12"/>
    <mergeCell ref="B13:E13"/>
    <mergeCell ref="B14:E14"/>
  </mergeCells>
  <pageMargins left="0.4" right="0.2" top="0.2" bottom="0.4" header="0.2" footer="0.2"/>
  <pageSetup paperSize="9" scale="73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35C6A-C1AE-48BC-8136-C92770F1A31E}">
  <dimension ref="A1:AB12"/>
  <sheetViews>
    <sheetView workbookViewId="0"/>
  </sheetViews>
  <sheetFormatPr defaultRowHeight="12.5" x14ac:dyDescent="0.25"/>
  <sheetData>
    <row r="1" spans="1:28" x14ac:dyDescent="0.25">
      <c r="A1" t="s">
        <v>224</v>
      </c>
      <c r="B1" t="s">
        <v>226</v>
      </c>
      <c r="C1" t="s">
        <v>227</v>
      </c>
      <c r="D1" t="s">
        <v>228</v>
      </c>
      <c r="E1" t="s">
        <v>229</v>
      </c>
      <c r="F1" t="s">
        <v>230</v>
      </c>
      <c r="G1" t="s">
        <v>231</v>
      </c>
      <c r="H1" t="s">
        <v>232</v>
      </c>
      <c r="I1" t="s">
        <v>233</v>
      </c>
      <c r="J1" t="s">
        <v>234</v>
      </c>
      <c r="K1" t="s">
        <v>235</v>
      </c>
      <c r="L1" t="s">
        <v>236</v>
      </c>
      <c r="M1" t="s">
        <v>237</v>
      </c>
      <c r="N1" t="s">
        <v>238</v>
      </c>
      <c r="O1" t="s">
        <v>225</v>
      </c>
    </row>
    <row r="2" spans="1:28" x14ac:dyDescent="0.25">
      <c r="A2">
        <v>1</v>
      </c>
      <c r="B2">
        <v>0</v>
      </c>
      <c r="C2">
        <v>0</v>
      </c>
      <c r="D2">
        <v>1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80891032</v>
      </c>
      <c r="M2">
        <v>0</v>
      </c>
      <c r="N2">
        <v>0</v>
      </c>
      <c r="O2">
        <v>0</v>
      </c>
    </row>
    <row r="4" spans="1:28" x14ac:dyDescent="0.25">
      <c r="A4" t="s">
        <v>196</v>
      </c>
      <c r="B4" t="s">
        <v>197</v>
      </c>
      <c r="C4" t="s">
        <v>198</v>
      </c>
      <c r="D4" t="s">
        <v>199</v>
      </c>
      <c r="E4" t="s">
        <v>200</v>
      </c>
      <c r="F4" t="s">
        <v>201</v>
      </c>
      <c r="G4" t="s">
        <v>202</v>
      </c>
      <c r="H4" t="s">
        <v>203</v>
      </c>
      <c r="I4" t="s">
        <v>204</v>
      </c>
      <c r="J4" t="s">
        <v>205</v>
      </c>
      <c r="K4" t="s">
        <v>206</v>
      </c>
      <c r="L4" t="s">
        <v>207</v>
      </c>
      <c r="M4" t="s">
        <v>208</v>
      </c>
      <c r="N4" t="s">
        <v>209</v>
      </c>
      <c r="O4" t="s">
        <v>210</v>
      </c>
      <c r="P4" t="s">
        <v>211</v>
      </c>
      <c r="Q4" t="s">
        <v>212</v>
      </c>
      <c r="R4" t="s">
        <v>213</v>
      </c>
      <c r="S4" t="s">
        <v>214</v>
      </c>
      <c r="T4" t="s">
        <v>215</v>
      </c>
      <c r="U4" t="s">
        <v>219</v>
      </c>
      <c r="V4" t="s">
        <v>220</v>
      </c>
      <c r="W4" t="s">
        <v>221</v>
      </c>
      <c r="X4" t="s">
        <v>222</v>
      </c>
      <c r="Y4" t="s">
        <v>223</v>
      </c>
      <c r="Z4" t="s">
        <v>216</v>
      </c>
      <c r="AA4" t="s">
        <v>217</v>
      </c>
      <c r="AB4" t="s">
        <v>218</v>
      </c>
    </row>
    <row r="6" spans="1:28" x14ac:dyDescent="0.25">
      <c r="A6">
        <f>Source!A20</f>
        <v>3</v>
      </c>
      <c r="B6">
        <v>20</v>
      </c>
      <c r="G6" t="str">
        <f>Source!G20</f>
        <v>Новая локальная смета</v>
      </c>
    </row>
    <row r="7" spans="1:28" x14ac:dyDescent="0.25">
      <c r="A7">
        <v>20</v>
      </c>
      <c r="B7">
        <v>12</v>
      </c>
      <c r="C7">
        <v>3</v>
      </c>
      <c r="D7">
        <v>0</v>
      </c>
      <c r="E7">
        <f>SmtRes!AV12</f>
        <v>0</v>
      </c>
      <c r="F7" t="str">
        <f>SmtRes!I12</f>
        <v>21.1-25-635</v>
      </c>
      <c r="G7" t="str">
        <f>SmtRes!K12</f>
        <v>Пакеты ПНД для мусора, объем пакета 30 л</v>
      </c>
      <c r="H7" t="str">
        <f>SmtRes!O12</f>
        <v>шт.</v>
      </c>
      <c r="I7">
        <f>SmtRes!Y12*Source!I28</f>
        <v>12480</v>
      </c>
      <c r="J7">
        <f>SmtRes!AO12</f>
        <v>1</v>
      </c>
      <c r="K7">
        <f>SmtRes!AE12</f>
        <v>2.12</v>
      </c>
      <c r="L7">
        <f>SmtRes!DB12</f>
        <v>1102.4000000000001</v>
      </c>
      <c r="M7">
        <f>ROUND(ROUND(L7*Source!I28, 6)*1, 2)</f>
        <v>26457.599999999999</v>
      </c>
      <c r="N7">
        <f>SmtRes!AA12</f>
        <v>2.12</v>
      </c>
      <c r="O7">
        <f>ROUND(ROUND(L7*Source!I28, 6)*SmtRes!DA12, 2)</f>
        <v>26457.599999999999</v>
      </c>
      <c r="P7">
        <f>SmtRes!AG12</f>
        <v>0</v>
      </c>
      <c r="Q7">
        <f>SmtRes!DC12</f>
        <v>0</v>
      </c>
      <c r="R7">
        <f>ROUND(ROUND(Q7*Source!I28, 6)*1, 2)</f>
        <v>0</v>
      </c>
      <c r="S7">
        <f>SmtRes!AC12</f>
        <v>0</v>
      </c>
      <c r="T7">
        <f>ROUND(ROUND(Q7*Source!I28, 6)*SmtRes!AK12, 2)</f>
        <v>0</v>
      </c>
      <c r="U7">
        <v>3</v>
      </c>
      <c r="Z7">
        <f>SmtRes!X12</f>
        <v>-862689443</v>
      </c>
      <c r="AA7">
        <v>1593799843</v>
      </c>
      <c r="AB7">
        <v>1593799843</v>
      </c>
    </row>
    <row r="8" spans="1:28" x14ac:dyDescent="0.25">
      <c r="A8">
        <v>20</v>
      </c>
      <c r="B8">
        <v>10</v>
      </c>
      <c r="C8">
        <v>3</v>
      </c>
      <c r="D8">
        <v>0</v>
      </c>
      <c r="E8">
        <f>SmtRes!AV10</f>
        <v>0</v>
      </c>
      <c r="F8" t="str">
        <f>SmtRes!I10</f>
        <v>21.1-24-48</v>
      </c>
      <c r="G8" t="str">
        <f>SmtRes!K10</f>
        <v>Средство жидкое концентрированное бактерицидное для дезинфекции и предстерилизационной очистки с содержанием алкилдиметилбензиламмоний хлорида 4,8%, рН 7</v>
      </c>
      <c r="H8" t="str">
        <f>SmtRes!O10</f>
        <v>л</v>
      </c>
      <c r="I8">
        <f>SmtRes!Y10*Source!I28</f>
        <v>187.20000000000002</v>
      </c>
      <c r="J8">
        <f>SmtRes!AO10</f>
        <v>1</v>
      </c>
      <c r="K8">
        <f>SmtRes!AE10</f>
        <v>420.12</v>
      </c>
      <c r="L8">
        <f>SmtRes!DB10</f>
        <v>3276</v>
      </c>
      <c r="M8">
        <f>ROUND(ROUND(L8*Source!I28, 6)*1, 2)</f>
        <v>78624</v>
      </c>
      <c r="N8">
        <f>SmtRes!AA10</f>
        <v>420.12</v>
      </c>
      <c r="O8">
        <f>ROUND(ROUND(L8*Source!I28, 6)*SmtRes!DA10, 2)</f>
        <v>78624</v>
      </c>
      <c r="P8">
        <f>SmtRes!AG10</f>
        <v>0</v>
      </c>
      <c r="Q8">
        <f>SmtRes!DC10</f>
        <v>0</v>
      </c>
      <c r="R8">
        <f>ROUND(ROUND(Q8*Source!I28, 6)*1, 2)</f>
        <v>0</v>
      </c>
      <c r="S8">
        <f>SmtRes!AC10</f>
        <v>0</v>
      </c>
      <c r="T8">
        <f>ROUND(ROUND(Q8*Source!I28, 6)*SmtRes!AK10, 2)</f>
        <v>0</v>
      </c>
      <c r="U8">
        <v>3</v>
      </c>
      <c r="Z8">
        <f>SmtRes!X10</f>
        <v>1410440587</v>
      </c>
      <c r="AA8">
        <v>1618960367</v>
      </c>
      <c r="AB8">
        <v>1618960367</v>
      </c>
    </row>
    <row r="9" spans="1:28" x14ac:dyDescent="0.25">
      <c r="A9">
        <v>20</v>
      </c>
      <c r="B9">
        <v>9</v>
      </c>
      <c r="C9">
        <v>3</v>
      </c>
      <c r="D9">
        <v>0</v>
      </c>
      <c r="E9">
        <f>SmtRes!AV9</f>
        <v>0</v>
      </c>
      <c r="F9" t="str">
        <f>SmtRes!I9</f>
        <v>21.1-24-22</v>
      </c>
      <c r="G9" t="str">
        <f>SmtRes!K9</f>
        <v>Средство кислотное высококонцентрированное бактерицидное пенное для очистки и дезинфекции, рН 2-3</v>
      </c>
      <c r="H9" t="str">
        <f>SmtRes!O9</f>
        <v>л</v>
      </c>
      <c r="I9">
        <f>SmtRes!Y9*Source!I28</f>
        <v>249.60000000000002</v>
      </c>
      <c r="J9">
        <f>SmtRes!AO9</f>
        <v>1</v>
      </c>
      <c r="K9">
        <f>SmtRes!AE9</f>
        <v>111.42</v>
      </c>
      <c r="L9">
        <f>SmtRes!DB9</f>
        <v>1159.5999999999999</v>
      </c>
      <c r="M9">
        <f>ROUND(ROUND(L9*Source!I28, 6)*1, 2)</f>
        <v>27830.400000000001</v>
      </c>
      <c r="N9">
        <f>SmtRes!AA9</f>
        <v>111.42</v>
      </c>
      <c r="O9">
        <f>ROUND(ROUND(L9*Source!I28, 6)*SmtRes!DA9, 2)</f>
        <v>27830.400000000001</v>
      </c>
      <c r="P9">
        <f>SmtRes!AG9</f>
        <v>0</v>
      </c>
      <c r="Q9">
        <f>SmtRes!DC9</f>
        <v>0</v>
      </c>
      <c r="R9">
        <f>ROUND(ROUND(Q9*Source!I28, 6)*1, 2)</f>
        <v>0</v>
      </c>
      <c r="S9">
        <f>SmtRes!AC9</f>
        <v>0</v>
      </c>
      <c r="T9">
        <f>ROUND(ROUND(Q9*Source!I28, 6)*SmtRes!AK9, 2)</f>
        <v>0</v>
      </c>
      <c r="U9">
        <v>3</v>
      </c>
      <c r="Z9">
        <f>SmtRes!X9</f>
        <v>1795167498</v>
      </c>
      <c r="AA9">
        <v>-1900196699</v>
      </c>
      <c r="AB9">
        <v>-1900196699</v>
      </c>
    </row>
    <row r="10" spans="1:28" x14ac:dyDescent="0.25">
      <c r="A10">
        <f>Source!A31</f>
        <v>18</v>
      </c>
      <c r="B10">
        <v>31</v>
      </c>
      <c r="C10">
        <v>3</v>
      </c>
      <c r="D10">
        <f>Source!BI31</f>
        <v>4</v>
      </c>
      <c r="E10">
        <f>Source!FS31</f>
        <v>0</v>
      </c>
      <c r="F10" t="str">
        <f>Source!F31</f>
        <v>21.1-24-99</v>
      </c>
      <c r="G10" t="str">
        <f>Source!G31</f>
        <v>Средство жидкое концентрированное дезодорирующее для баков накопительных биотуалетных систем</v>
      </c>
      <c r="H10" t="str">
        <f>Source!H31</f>
        <v>л</v>
      </c>
      <c r="I10">
        <f>Source!I31</f>
        <v>13</v>
      </c>
      <c r="J10">
        <v>1</v>
      </c>
      <c r="K10">
        <f>Source!AC31</f>
        <v>543.51</v>
      </c>
      <c r="M10">
        <f>ROUND(K10*I10, 2)</f>
        <v>7065.63</v>
      </c>
      <c r="N10">
        <f>Source!AC31*IF(Source!BC31&lt;&gt; 0, Source!BC31, 1)</f>
        <v>543.51</v>
      </c>
      <c r="O10">
        <f>ROUND(N10*I10, 2)</f>
        <v>7065.63</v>
      </c>
      <c r="P10">
        <f>Source!AE31</f>
        <v>0</v>
      </c>
      <c r="R10">
        <f>ROUND(P10*I10, 2)</f>
        <v>0</v>
      </c>
      <c r="S10">
        <f>Source!AE31*IF(Source!BS31&lt;&gt; 0, Source!BS31, 1)</f>
        <v>0</v>
      </c>
      <c r="T10">
        <f>ROUND(S10*I10, 2)</f>
        <v>0</v>
      </c>
      <c r="U10">
        <v>3</v>
      </c>
      <c r="Z10">
        <f>Source!GF31</f>
        <v>-2011220865</v>
      </c>
      <c r="AA10">
        <v>-439031127</v>
      </c>
      <c r="AB10">
        <v>-439031127</v>
      </c>
    </row>
    <row r="11" spans="1:28" x14ac:dyDescent="0.25">
      <c r="A11">
        <f>Source!A33</f>
        <v>17</v>
      </c>
      <c r="B11">
        <v>33</v>
      </c>
      <c r="C11">
        <v>3</v>
      </c>
      <c r="D11">
        <f>Source!BI33</f>
        <v>1</v>
      </c>
      <c r="E11">
        <f>Source!FS33</f>
        <v>0</v>
      </c>
      <c r="F11" t="str">
        <f>Source!F33</f>
        <v>ена поставщика</v>
      </c>
      <c r="G11" t="str">
        <f>Source!G33</f>
        <v>Туалетная бумага Veiro Professional Premium T308 (или эквивалент) 25 м двухслойная (расход 1 шт. по 25 м на 1 унитазна 2  дня)</v>
      </c>
      <c r="H11" t="str">
        <f>Source!H33</f>
        <v>шт.</v>
      </c>
      <c r="I11">
        <f>Source!I33</f>
        <v>10767</v>
      </c>
      <c r="J11">
        <v>1</v>
      </c>
      <c r="K11">
        <f>Source!AC33</f>
        <v>16.670000000000002</v>
      </c>
      <c r="M11">
        <f>ROUND(K11*I11, 2)</f>
        <v>179485.89</v>
      </c>
      <c r="N11">
        <f>Source!AC33*IF(Source!BC33&lt;&gt; 0, Source!BC33, 1)</f>
        <v>16.670000000000002</v>
      </c>
      <c r="O11">
        <f>ROUND(N11*I11, 2)</f>
        <v>179485.89</v>
      </c>
      <c r="P11">
        <f>Source!AE33</f>
        <v>0</v>
      </c>
      <c r="R11">
        <f>ROUND(P11*I11, 2)</f>
        <v>0</v>
      </c>
      <c r="S11">
        <f>Source!AE33*IF(Source!BS33&lt;&gt; 0, Source!BS33, 1)</f>
        <v>0</v>
      </c>
      <c r="T11">
        <f>ROUND(S11*I11, 2)</f>
        <v>0</v>
      </c>
      <c r="U11">
        <v>3</v>
      </c>
      <c r="Z11">
        <f>Source!GF33</f>
        <v>-656021633</v>
      </c>
      <c r="AA11">
        <v>-1598813141</v>
      </c>
      <c r="AB11">
        <v>-1598813141</v>
      </c>
    </row>
    <row r="12" spans="1:28" x14ac:dyDescent="0.25">
      <c r="A12">
        <v>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5D3EA-FFB3-4BF1-AD5D-0C20C038799F}">
  <sheetPr>
    <pageSetUpPr fitToPage="1"/>
  </sheetPr>
  <dimension ref="A2:Q12"/>
  <sheetViews>
    <sheetView workbookViewId="0"/>
  </sheetViews>
  <sheetFormatPr defaultRowHeight="12.5" x14ac:dyDescent="0.25"/>
  <cols>
    <col min="1" max="1" width="18.6328125" customWidth="1"/>
    <col min="2" max="2" width="40.6328125" customWidth="1"/>
    <col min="3" max="4" width="12.6328125" customWidth="1"/>
    <col min="15" max="15" width="36" hidden="1" customWidth="1"/>
    <col min="16" max="18" width="0" hidden="1" customWidth="1"/>
  </cols>
  <sheetData>
    <row r="2" spans="1:17" ht="16.5" x14ac:dyDescent="0.25">
      <c r="A2" s="62" t="s">
        <v>239</v>
      </c>
      <c r="B2" s="63"/>
      <c r="C2" s="63"/>
      <c r="D2" s="63"/>
    </row>
    <row r="3" spans="1:17" ht="33" x14ac:dyDescent="0.25">
      <c r="A3" s="62" t="str">
        <f>CONCATENATE("Объект: ",IF(Source!G65&lt;&gt;"Новый объект", Source!G65, ""))</f>
        <v>Объект: Содержание биотуалетов</v>
      </c>
      <c r="B3" s="63"/>
      <c r="C3" s="63"/>
      <c r="D3" s="63"/>
      <c r="O3" s="37" t="s">
        <v>240</v>
      </c>
    </row>
    <row r="4" spans="1:17" ht="28" x14ac:dyDescent="0.25">
      <c r="A4" s="17" t="s">
        <v>241</v>
      </c>
      <c r="B4" s="17" t="s">
        <v>242</v>
      </c>
      <c r="C4" s="17" t="s">
        <v>161</v>
      </c>
      <c r="D4" s="17" t="s">
        <v>243</v>
      </c>
    </row>
    <row r="5" spans="1:17" ht="14" x14ac:dyDescent="0.25">
      <c r="A5" s="17">
        <v>1</v>
      </c>
      <c r="B5" s="17">
        <v>2</v>
      </c>
      <c r="C5" s="17">
        <v>3</v>
      </c>
      <c r="D5" s="17">
        <v>4</v>
      </c>
    </row>
    <row r="6" spans="1:17" ht="16.5" x14ac:dyDescent="0.25">
      <c r="A6" s="62" t="str">
        <f>CONCATENATE("Локальная смета: ",IF(Source!G22&lt;&gt;"Новая локальная смета", Source!G22, ""))</f>
        <v xml:space="preserve">Локальная смета: </v>
      </c>
      <c r="B6" s="63"/>
      <c r="C6" s="63"/>
      <c r="D6" s="63"/>
    </row>
    <row r="7" spans="1:17" ht="14" x14ac:dyDescent="0.25">
      <c r="A7" s="64" t="s">
        <v>244</v>
      </c>
      <c r="B7" s="65"/>
      <c r="C7" s="65"/>
      <c r="D7" s="65"/>
    </row>
    <row r="8" spans="1:17" ht="56" x14ac:dyDescent="0.3">
      <c r="A8" s="38" t="s">
        <v>129</v>
      </c>
      <c r="B8" s="39" t="s">
        <v>131</v>
      </c>
      <c r="C8" s="39" t="s">
        <v>47</v>
      </c>
      <c r="D8" s="40">
        <f>ROUND(SUMIF(RV_DATA!Z7:Z11, 1795167498, RV_DATA!I7:I11), 6)</f>
        <v>249.6</v>
      </c>
      <c r="Q8">
        <v>3</v>
      </c>
    </row>
    <row r="9" spans="1:17" ht="84" x14ac:dyDescent="0.3">
      <c r="A9" s="38" t="s">
        <v>132</v>
      </c>
      <c r="B9" s="39" t="s">
        <v>134</v>
      </c>
      <c r="C9" s="39" t="s">
        <v>47</v>
      </c>
      <c r="D9" s="40">
        <f>ROUND(SUMIF(RV_DATA!Z7:Z11, 1410440587, RV_DATA!I7:I11), 6)</f>
        <v>187.2</v>
      </c>
      <c r="Q9">
        <v>3</v>
      </c>
    </row>
    <row r="10" spans="1:17" ht="42" x14ac:dyDescent="0.3">
      <c r="A10" s="38" t="s">
        <v>45</v>
      </c>
      <c r="B10" s="39" t="s">
        <v>46</v>
      </c>
      <c r="C10" s="39" t="s">
        <v>47</v>
      </c>
      <c r="D10" s="40">
        <f>ROUND(SUMIF(RV_DATA!Z7:Z11, -2011220865, RV_DATA!I7:I11), 6)</f>
        <v>13</v>
      </c>
      <c r="Q10">
        <v>3</v>
      </c>
    </row>
    <row r="11" spans="1:17" ht="28" x14ac:dyDescent="0.3">
      <c r="A11" s="38" t="s">
        <v>135</v>
      </c>
      <c r="B11" s="39" t="s">
        <v>137</v>
      </c>
      <c r="C11" s="39" t="s">
        <v>41</v>
      </c>
      <c r="D11" s="40">
        <f>ROUND(SUMIF(RV_DATA!Z7:Z11, -862689443, RV_DATA!I7:I11), 6)</f>
        <v>12480</v>
      </c>
      <c r="Q11">
        <v>3</v>
      </c>
    </row>
    <row r="12" spans="1:17" ht="56" x14ac:dyDescent="0.3">
      <c r="A12" s="38" t="s">
        <v>55</v>
      </c>
      <c r="B12" s="39" t="s">
        <v>56</v>
      </c>
      <c r="C12" s="39" t="s">
        <v>41</v>
      </c>
      <c r="D12" s="40">
        <f>ROUND(SUMIF(RV_DATA!Z7:Z11, -656021633, RV_DATA!I7:I11), 6)</f>
        <v>10767</v>
      </c>
      <c r="Q12">
        <v>3</v>
      </c>
    </row>
  </sheetData>
  <sortState xmlns:xlrd2="http://schemas.microsoft.com/office/spreadsheetml/2017/richdata2" ref="A8:Q12">
    <sortCondition ref="A8"/>
  </sortState>
  <mergeCells count="4">
    <mergeCell ref="A2:D2"/>
    <mergeCell ref="A3:D3"/>
    <mergeCell ref="A6:D6"/>
    <mergeCell ref="A7:D7"/>
  </mergeCells>
  <pageMargins left="0.6" right="0.4" top="0.65" bottom="0.4" header="0.4" footer="0.4"/>
  <pageSetup paperSize="9" fitToHeight="0" orientation="portrait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41492-1861-4078-AB87-6755B4267550}">
  <dimension ref="A1:IK104"/>
  <sheetViews>
    <sheetView topLeftCell="A49" workbookViewId="0">
      <selection activeCell="F96" sqref="F96"/>
    </sheetView>
  </sheetViews>
  <sheetFormatPr defaultColWidth="9.1796875" defaultRowHeight="12.5" x14ac:dyDescent="0.25"/>
  <cols>
    <col min="1" max="256" width="9.1796875" customWidth="1"/>
  </cols>
  <sheetData>
    <row r="1" spans="1:133" x14ac:dyDescent="0.25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75383</v>
      </c>
      <c r="M1">
        <v>10</v>
      </c>
      <c r="N1">
        <v>11</v>
      </c>
      <c r="O1">
        <v>15</v>
      </c>
      <c r="P1">
        <v>0</v>
      </c>
      <c r="Q1">
        <v>1</v>
      </c>
    </row>
    <row r="12" spans="1:133" ht="13" x14ac:dyDescent="0.3">
      <c r="A12" s="1">
        <v>1</v>
      </c>
      <c r="B12" s="1">
        <v>100</v>
      </c>
      <c r="C12" s="1">
        <v>0</v>
      </c>
      <c r="D12" s="1">
        <f>ROW(A65)</f>
        <v>65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ht="13" x14ac:dyDescent="0.3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ht="13" x14ac:dyDescent="0.3">
      <c r="A18" s="2">
        <v>52</v>
      </c>
      <c r="B18" s="2">
        <f t="shared" ref="B18:G18" si="0">B65</f>
        <v>100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Содержание биотуалетов</v>
      </c>
      <c r="H18" s="2"/>
      <c r="I18" s="2"/>
      <c r="J18" s="2"/>
      <c r="K18" s="2"/>
      <c r="L18" s="2"/>
      <c r="M18" s="2"/>
      <c r="N18" s="2"/>
      <c r="O18" s="2">
        <f t="shared" ref="O18:AT18" si="1">O65</f>
        <v>9397699.6999999993</v>
      </c>
      <c r="P18" s="2">
        <f t="shared" si="1"/>
        <v>319436.69</v>
      </c>
      <c r="Q18" s="2">
        <f t="shared" si="1"/>
        <v>6541954.3499999996</v>
      </c>
      <c r="R18" s="2">
        <f t="shared" si="1"/>
        <v>2858439.22</v>
      </c>
      <c r="S18" s="2">
        <f t="shared" si="1"/>
        <v>2536308.66</v>
      </c>
      <c r="T18" s="2">
        <f t="shared" si="1"/>
        <v>0</v>
      </c>
      <c r="U18" s="2">
        <f t="shared" si="1"/>
        <v>6609.8239999999987</v>
      </c>
      <c r="V18" s="2">
        <f t="shared" si="1"/>
        <v>0</v>
      </c>
      <c r="W18" s="2">
        <f t="shared" si="1"/>
        <v>0</v>
      </c>
      <c r="X18" s="2">
        <f t="shared" si="1"/>
        <v>1775416.06</v>
      </c>
      <c r="Y18" s="2">
        <f t="shared" si="1"/>
        <v>253630.87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14513860.99</v>
      </c>
      <c r="AS18" s="2">
        <f t="shared" si="1"/>
        <v>179485.89</v>
      </c>
      <c r="AT18" s="2">
        <f t="shared" si="1"/>
        <v>0</v>
      </c>
      <c r="AU18" s="2">
        <f t="shared" ref="AU18:BZ18" si="2">AU65</f>
        <v>14334375.1</v>
      </c>
      <c r="AV18" s="2">
        <f t="shared" si="2"/>
        <v>319436.69</v>
      </c>
      <c r="AW18" s="2">
        <f t="shared" si="2"/>
        <v>319436.69</v>
      </c>
      <c r="AX18" s="2">
        <f t="shared" si="2"/>
        <v>0</v>
      </c>
      <c r="AY18" s="2">
        <f t="shared" si="2"/>
        <v>319436.69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CA65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DG65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EM65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FS65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ht="13" x14ac:dyDescent="0.3">
      <c r="A20" s="1">
        <v>3</v>
      </c>
      <c r="B20" s="1">
        <v>1</v>
      </c>
      <c r="C20" s="1"/>
      <c r="D20" s="1">
        <f>ROW(A35)</f>
        <v>35</v>
      </c>
      <c r="E20" s="1"/>
      <c r="F20" s="1" t="s">
        <v>12</v>
      </c>
      <c r="G20" s="1" t="s">
        <v>12</v>
      </c>
      <c r="H20" s="1" t="s">
        <v>3</v>
      </c>
      <c r="I20" s="1">
        <v>0</v>
      </c>
      <c r="J20" s="1" t="s">
        <v>3</v>
      </c>
      <c r="K20" s="1">
        <v>0</v>
      </c>
      <c r="L20" s="1" t="s">
        <v>12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ht="13" x14ac:dyDescent="0.3">
      <c r="A22" s="2">
        <v>52</v>
      </c>
      <c r="B22" s="2">
        <f t="shared" ref="B22:G22" si="7">B35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O35</f>
        <v>9397699.6999999993</v>
      </c>
      <c r="P22" s="2">
        <f t="shared" si="8"/>
        <v>319436.69</v>
      </c>
      <c r="Q22" s="2">
        <f t="shared" si="8"/>
        <v>6541954.3499999996</v>
      </c>
      <c r="R22" s="2">
        <f t="shared" si="8"/>
        <v>2858439.22</v>
      </c>
      <c r="S22" s="2">
        <f t="shared" si="8"/>
        <v>2536308.66</v>
      </c>
      <c r="T22" s="2">
        <f t="shared" si="8"/>
        <v>0</v>
      </c>
      <c r="U22" s="2">
        <f t="shared" si="8"/>
        <v>6609.8239999999987</v>
      </c>
      <c r="V22" s="2">
        <f t="shared" si="8"/>
        <v>0</v>
      </c>
      <c r="W22" s="2">
        <f t="shared" si="8"/>
        <v>0</v>
      </c>
      <c r="X22" s="2">
        <f t="shared" si="8"/>
        <v>1775416.06</v>
      </c>
      <c r="Y22" s="2">
        <f t="shared" si="8"/>
        <v>253630.87</v>
      </c>
      <c r="Z22" s="2">
        <f t="shared" si="8"/>
        <v>0</v>
      </c>
      <c r="AA22" s="2">
        <f t="shared" si="8"/>
        <v>0</v>
      </c>
      <c r="AB22" s="2">
        <f t="shared" si="8"/>
        <v>9397699.6999999993</v>
      </c>
      <c r="AC22" s="2">
        <f t="shared" si="8"/>
        <v>319436.69</v>
      </c>
      <c r="AD22" s="2">
        <f t="shared" si="8"/>
        <v>6541954.3499999996</v>
      </c>
      <c r="AE22" s="2">
        <f t="shared" si="8"/>
        <v>2858439.22</v>
      </c>
      <c r="AF22" s="2">
        <f t="shared" si="8"/>
        <v>2536308.66</v>
      </c>
      <c r="AG22" s="2">
        <f t="shared" si="8"/>
        <v>0</v>
      </c>
      <c r="AH22" s="2">
        <f t="shared" si="8"/>
        <v>6609.8239999999987</v>
      </c>
      <c r="AI22" s="2">
        <f t="shared" si="8"/>
        <v>0</v>
      </c>
      <c r="AJ22" s="2">
        <f t="shared" si="8"/>
        <v>0</v>
      </c>
      <c r="AK22" s="2">
        <f t="shared" si="8"/>
        <v>1775416.06</v>
      </c>
      <c r="AL22" s="2">
        <f t="shared" si="8"/>
        <v>253630.87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14513860.99</v>
      </c>
      <c r="AS22" s="2">
        <f t="shared" si="8"/>
        <v>179485.89</v>
      </c>
      <c r="AT22" s="2">
        <f t="shared" si="8"/>
        <v>0</v>
      </c>
      <c r="AU22" s="2">
        <f t="shared" ref="AU22:BZ22" si="9">AU35</f>
        <v>14334375.1</v>
      </c>
      <c r="AV22" s="2">
        <f t="shared" si="9"/>
        <v>319436.69</v>
      </c>
      <c r="AW22" s="2">
        <f t="shared" si="9"/>
        <v>319436.69</v>
      </c>
      <c r="AX22" s="2">
        <f t="shared" si="9"/>
        <v>0</v>
      </c>
      <c r="AY22" s="2">
        <f t="shared" si="9"/>
        <v>319436.69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CA35</f>
        <v>14513860.99</v>
      </c>
      <c r="CB22" s="2">
        <f t="shared" si="10"/>
        <v>179485.89</v>
      </c>
      <c r="CC22" s="2">
        <f t="shared" si="10"/>
        <v>0</v>
      </c>
      <c r="CD22" s="2">
        <f t="shared" si="10"/>
        <v>14334375.1</v>
      </c>
      <c r="CE22" s="2">
        <f t="shared" si="10"/>
        <v>319436.69</v>
      </c>
      <c r="CF22" s="2">
        <f t="shared" si="10"/>
        <v>319436.69</v>
      </c>
      <c r="CG22" s="2">
        <f t="shared" si="10"/>
        <v>0</v>
      </c>
      <c r="CH22" s="2">
        <f t="shared" si="10"/>
        <v>319436.69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DG35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EM35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FS35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5">
      <c r="A24">
        <v>17</v>
      </c>
      <c r="B24">
        <v>1</v>
      </c>
      <c r="C24">
        <f>ROW(SmtRes!A4)</f>
        <v>4</v>
      </c>
      <c r="D24">
        <f>ROW(EtalonRes!A4)</f>
        <v>4</v>
      </c>
      <c r="E24" t="s">
        <v>13</v>
      </c>
      <c r="F24" t="s">
        <v>14</v>
      </c>
      <c r="G24" t="s">
        <v>15</v>
      </c>
      <c r="H24" t="s">
        <v>16</v>
      </c>
      <c r="I24">
        <v>24</v>
      </c>
      <c r="J24">
        <v>0</v>
      </c>
      <c r="K24">
        <v>24</v>
      </c>
      <c r="O24">
        <f t="shared" ref="O24:O33" si="14">ROUND(CP24,2)</f>
        <v>6140434.5599999996</v>
      </c>
      <c r="P24">
        <f t="shared" ref="P24:P33" si="15">ROUND(CQ24*I24,2)</f>
        <v>136805.76000000001</v>
      </c>
      <c r="Q24">
        <f t="shared" ref="Q24:Q33" si="16">ROUND(CR24*I24,2)</f>
        <v>5118048</v>
      </c>
      <c r="R24">
        <f t="shared" ref="R24:R33" si="17">ROUND(CS24*I24,2)</f>
        <v>2291153.2799999998</v>
      </c>
      <c r="S24">
        <f t="shared" ref="S24:S33" si="18">ROUND(CT24*I24,2)</f>
        <v>885580.80000000005</v>
      </c>
      <c r="T24">
        <f t="shared" ref="T24:T33" si="19">ROUND(CU24*I24,2)</f>
        <v>0</v>
      </c>
      <c r="U24">
        <f t="shared" ref="U24:U33" si="20">CV24*I24</f>
        <v>1747.1999999999998</v>
      </c>
      <c r="V24">
        <f t="shared" ref="V24:V33" si="21">CW24*I24</f>
        <v>0</v>
      </c>
      <c r="W24">
        <f t="shared" ref="W24:W33" si="22">ROUND(CX24*I24,2)</f>
        <v>0</v>
      </c>
      <c r="X24">
        <f t="shared" ref="X24:X33" si="23">ROUND(CY24,2)</f>
        <v>619906.56000000006</v>
      </c>
      <c r="Y24">
        <f t="shared" ref="Y24:Y33" si="24">ROUND(CZ24,2)</f>
        <v>88558.080000000002</v>
      </c>
      <c r="AA24">
        <v>80891032</v>
      </c>
      <c r="AB24">
        <f t="shared" ref="AB24:AB33" si="25">ROUND((AC24+AD24+AF24),6)</f>
        <v>255851.44</v>
      </c>
      <c r="AC24">
        <f>ROUND((((ES24*52)*2)),6)</f>
        <v>5700.24</v>
      </c>
      <c r="AD24">
        <f>ROUND((((((ET24*52)*2))-(((EU24*52)*2)))+AE24),6)</f>
        <v>213252</v>
      </c>
      <c r="AE24">
        <f>ROUND((((EU24*52)*2)),6)</f>
        <v>95464.72</v>
      </c>
      <c r="AF24">
        <f>ROUND((((EV24*52)*2)),6)</f>
        <v>36899.199999999997</v>
      </c>
      <c r="AG24">
        <f t="shared" ref="AG24:AG33" si="26">ROUND((AP24),6)</f>
        <v>0</v>
      </c>
      <c r="AH24">
        <f>(((EW24*52)*2))</f>
        <v>72.8</v>
      </c>
      <c r="AI24">
        <f>(((EX24*52)*2))</f>
        <v>0</v>
      </c>
      <c r="AJ24">
        <f t="shared" ref="AJ24:AJ33" si="27">(AS24)</f>
        <v>0</v>
      </c>
      <c r="AK24">
        <v>2460.11</v>
      </c>
      <c r="AL24">
        <v>54.81</v>
      </c>
      <c r="AM24">
        <v>2050.5</v>
      </c>
      <c r="AN24">
        <v>917.93</v>
      </c>
      <c r="AO24">
        <v>354.8</v>
      </c>
      <c r="AP24">
        <v>0</v>
      </c>
      <c r="AQ24">
        <v>0.7</v>
      </c>
      <c r="AR24">
        <v>0</v>
      </c>
      <c r="AS24">
        <v>0</v>
      </c>
      <c r="AT24">
        <v>70</v>
      </c>
      <c r="AU24">
        <v>10</v>
      </c>
      <c r="AV24">
        <v>1</v>
      </c>
      <c r="AW24">
        <v>1</v>
      </c>
      <c r="AZ24">
        <v>1</v>
      </c>
      <c r="BA24">
        <v>1</v>
      </c>
      <c r="BB24">
        <v>1</v>
      </c>
      <c r="BC24">
        <v>1</v>
      </c>
      <c r="BD24" t="s">
        <v>3</v>
      </c>
      <c r="BE24" t="s">
        <v>3</v>
      </c>
      <c r="BF24" t="s">
        <v>3</v>
      </c>
      <c r="BG24" t="s">
        <v>3</v>
      </c>
      <c r="BH24">
        <v>0</v>
      </c>
      <c r="BI24">
        <v>4</v>
      </c>
      <c r="BJ24" t="s">
        <v>17</v>
      </c>
      <c r="BM24">
        <v>0</v>
      </c>
      <c r="BN24">
        <v>0</v>
      </c>
      <c r="BO24" t="s">
        <v>3</v>
      </c>
      <c r="BP24">
        <v>0</v>
      </c>
      <c r="BQ24">
        <v>1</v>
      </c>
      <c r="BR24">
        <v>0</v>
      </c>
      <c r="BS24">
        <v>1</v>
      </c>
      <c r="BT24">
        <v>1</v>
      </c>
      <c r="BU24">
        <v>1</v>
      </c>
      <c r="BV24">
        <v>1</v>
      </c>
      <c r="BW24">
        <v>1</v>
      </c>
      <c r="BX24">
        <v>1</v>
      </c>
      <c r="BY24" t="s">
        <v>3</v>
      </c>
      <c r="BZ24">
        <v>70</v>
      </c>
      <c r="CA24">
        <v>10</v>
      </c>
      <c r="CB24" t="s">
        <v>3</v>
      </c>
      <c r="CE24">
        <v>0</v>
      </c>
      <c r="CF24">
        <v>0</v>
      </c>
      <c r="CG24">
        <v>0</v>
      </c>
      <c r="CM24">
        <v>0</v>
      </c>
      <c r="CN24" t="s">
        <v>3</v>
      </c>
      <c r="CO24">
        <v>0</v>
      </c>
      <c r="CP24">
        <f t="shared" ref="CP24:CP33" si="28">(P24+Q24+S24)</f>
        <v>6140434.5599999996</v>
      </c>
      <c r="CQ24">
        <f t="shared" ref="CQ24:CQ33" si="29">(AC24*BC24*AW24)</f>
        <v>5700.24</v>
      </c>
      <c r="CR24">
        <f>((((((ET24*52)*2))*BB24-(((EU24*52)*2))*BS24)+AE24*BS24)*AV24)</f>
        <v>213252</v>
      </c>
      <c r="CS24">
        <f t="shared" ref="CS24:CS33" si="30">(AE24*BS24*AV24)</f>
        <v>95464.72</v>
      </c>
      <c r="CT24">
        <f t="shared" ref="CT24:CT33" si="31">(AF24*BA24*AV24)</f>
        <v>36899.199999999997</v>
      </c>
      <c r="CU24">
        <f t="shared" ref="CU24:CU33" si="32">AG24</f>
        <v>0</v>
      </c>
      <c r="CV24">
        <f t="shared" ref="CV24:CV33" si="33">(AH24*AV24)</f>
        <v>72.8</v>
      </c>
      <c r="CW24">
        <f t="shared" ref="CW24:CW33" si="34">AI24</f>
        <v>0</v>
      </c>
      <c r="CX24">
        <f t="shared" ref="CX24:CX33" si="35">AJ24</f>
        <v>0</v>
      </c>
      <c r="CY24">
        <f t="shared" ref="CY24:CY33" si="36">((S24*BZ24)/100)</f>
        <v>619906.56000000006</v>
      </c>
      <c r="CZ24">
        <f t="shared" ref="CZ24:CZ33" si="37">((S24*CA24)/100)</f>
        <v>88558.080000000002</v>
      </c>
      <c r="DC24" t="s">
        <v>3</v>
      </c>
      <c r="DD24" t="s">
        <v>18</v>
      </c>
      <c r="DE24" t="s">
        <v>18</v>
      </c>
      <c r="DF24" t="s">
        <v>18</v>
      </c>
      <c r="DG24" t="s">
        <v>18</v>
      </c>
      <c r="DH24" t="s">
        <v>3</v>
      </c>
      <c r="DI24" t="s">
        <v>18</v>
      </c>
      <c r="DJ24" t="s">
        <v>18</v>
      </c>
      <c r="DK24" t="s">
        <v>3</v>
      </c>
      <c r="DL24" t="s">
        <v>3</v>
      </c>
      <c r="DM24" t="s">
        <v>3</v>
      </c>
      <c r="DN24">
        <v>0</v>
      </c>
      <c r="DO24">
        <v>0</v>
      </c>
      <c r="DP24">
        <v>1</v>
      </c>
      <c r="DQ24">
        <v>1</v>
      </c>
      <c r="DU24">
        <v>1013</v>
      </c>
      <c r="DV24" t="s">
        <v>16</v>
      </c>
      <c r="DW24" t="s">
        <v>16</v>
      </c>
      <c r="DX24">
        <v>1</v>
      </c>
      <c r="DZ24" t="s">
        <v>3</v>
      </c>
      <c r="EA24" t="s">
        <v>3</v>
      </c>
      <c r="EB24" t="s">
        <v>3</v>
      </c>
      <c r="EC24" t="s">
        <v>3</v>
      </c>
      <c r="EE24">
        <v>80196140</v>
      </c>
      <c r="EF24">
        <v>1</v>
      </c>
      <c r="EG24" t="s">
        <v>19</v>
      </c>
      <c r="EH24">
        <v>0</v>
      </c>
      <c r="EI24" t="s">
        <v>3</v>
      </c>
      <c r="EJ24">
        <v>4</v>
      </c>
      <c r="EK24">
        <v>0</v>
      </c>
      <c r="EL24" t="s">
        <v>20</v>
      </c>
      <c r="EM24" t="s">
        <v>21</v>
      </c>
      <c r="EO24" t="s">
        <v>3</v>
      </c>
      <c r="EQ24">
        <v>0</v>
      </c>
      <c r="ER24">
        <v>2460.11</v>
      </c>
      <c r="ES24">
        <v>54.81</v>
      </c>
      <c r="ET24">
        <v>2050.5</v>
      </c>
      <c r="EU24">
        <v>917.93</v>
      </c>
      <c r="EV24">
        <v>354.8</v>
      </c>
      <c r="EW24">
        <v>0.7</v>
      </c>
      <c r="EX24">
        <v>0</v>
      </c>
      <c r="EY24">
        <v>0</v>
      </c>
      <c r="FQ24">
        <v>0</v>
      </c>
      <c r="FR24">
        <v>0</v>
      </c>
      <c r="FS24">
        <v>0</v>
      </c>
      <c r="FX24">
        <v>70</v>
      </c>
      <c r="FY24">
        <v>10</v>
      </c>
      <c r="GA24" t="s">
        <v>3</v>
      </c>
      <c r="GD24">
        <v>0</v>
      </c>
      <c r="GF24">
        <v>-1583183696</v>
      </c>
      <c r="GG24">
        <v>2</v>
      </c>
      <c r="GH24">
        <v>1</v>
      </c>
      <c r="GI24">
        <v>-2</v>
      </c>
      <c r="GJ24">
        <v>0</v>
      </c>
      <c r="GK24">
        <f>ROUND(R24*(R12)/100,2)</f>
        <v>2474445.54</v>
      </c>
      <c r="GL24">
        <f t="shared" ref="GL24:GL33" si="38">ROUND(IF(AND(BH24=3,BI24=3,FS24&lt;&gt;0),P24,0),2)</f>
        <v>0</v>
      </c>
      <c r="GM24">
        <f t="shared" ref="GM24:GM33" si="39">ROUND(O24+X24+Y24+GK24,2)+GX24</f>
        <v>9323344.7400000002</v>
      </c>
      <c r="GN24">
        <f t="shared" ref="GN24:GN33" si="40">IF(OR(BI24=0,BI24=1),GM24-GX24,0)</f>
        <v>0</v>
      </c>
      <c r="GO24">
        <f t="shared" ref="GO24:GO33" si="41">IF(BI24=2,GM24-GX24,0)</f>
        <v>0</v>
      </c>
      <c r="GP24">
        <f t="shared" ref="GP24:GP33" si="42">IF(BI24=4,GM24-GX24,0)</f>
        <v>9323344.7400000002</v>
      </c>
      <c r="GR24">
        <v>0</v>
      </c>
      <c r="GS24">
        <v>3</v>
      </c>
      <c r="GT24">
        <v>0</v>
      </c>
      <c r="GU24" t="s">
        <v>3</v>
      </c>
      <c r="GV24">
        <f t="shared" ref="GV24:GV33" si="43">ROUND((GT24),6)</f>
        <v>0</v>
      </c>
      <c r="GW24">
        <v>1</v>
      </c>
      <c r="GX24">
        <f t="shared" ref="GX24:GX33" si="44">ROUND(HC24*I24,2)</f>
        <v>0</v>
      </c>
      <c r="HA24">
        <v>0</v>
      </c>
      <c r="HB24">
        <v>0</v>
      </c>
      <c r="HC24">
        <f t="shared" ref="HC24:HC33" si="45">GV24*GW24</f>
        <v>0</v>
      </c>
      <c r="HE24" t="s">
        <v>3</v>
      </c>
      <c r="HF24" t="s">
        <v>3</v>
      </c>
      <c r="HM24" t="s">
        <v>3</v>
      </c>
      <c r="HN24" t="s">
        <v>3</v>
      </c>
      <c r="HO24" t="s">
        <v>3</v>
      </c>
      <c r="HP24" t="s">
        <v>3</v>
      </c>
      <c r="HQ24" t="s">
        <v>3</v>
      </c>
      <c r="HS24">
        <v>0</v>
      </c>
      <c r="IK24">
        <v>0</v>
      </c>
    </row>
    <row r="25" spans="1:245" x14ac:dyDescent="0.25">
      <c r="A25">
        <v>18</v>
      </c>
      <c r="B25">
        <v>1</v>
      </c>
      <c r="C25">
        <v>4</v>
      </c>
      <c r="E25" t="s">
        <v>22</v>
      </c>
      <c r="F25" t="s">
        <v>23</v>
      </c>
      <c r="G25" t="s">
        <v>24</v>
      </c>
      <c r="H25" t="s">
        <v>25</v>
      </c>
      <c r="I25">
        <f>I24*J25</f>
        <v>-2496</v>
      </c>
      <c r="J25">
        <v>-104</v>
      </c>
      <c r="K25">
        <v>-1</v>
      </c>
      <c r="O25">
        <f t="shared" si="14"/>
        <v>-136805.76000000001</v>
      </c>
      <c r="P25">
        <f t="shared" si="15"/>
        <v>-136805.76000000001</v>
      </c>
      <c r="Q25">
        <f t="shared" si="16"/>
        <v>0</v>
      </c>
      <c r="R25">
        <f t="shared" si="17"/>
        <v>0</v>
      </c>
      <c r="S25">
        <f t="shared" si="18"/>
        <v>0</v>
      </c>
      <c r="T25">
        <f t="shared" si="19"/>
        <v>0</v>
      </c>
      <c r="U25">
        <f t="shared" si="20"/>
        <v>0</v>
      </c>
      <c r="V25">
        <f t="shared" si="21"/>
        <v>0</v>
      </c>
      <c r="W25">
        <f t="shared" si="22"/>
        <v>0</v>
      </c>
      <c r="X25">
        <f t="shared" si="23"/>
        <v>0</v>
      </c>
      <c r="Y25">
        <f t="shared" si="24"/>
        <v>0</v>
      </c>
      <c r="AA25">
        <v>80891032</v>
      </c>
      <c r="AB25">
        <f t="shared" si="25"/>
        <v>54.81</v>
      </c>
      <c r="AC25">
        <f>ROUND((ES25),6)</f>
        <v>54.81</v>
      </c>
      <c r="AD25">
        <f>ROUND((((ET25)-(EU25))+AE25),6)</f>
        <v>0</v>
      </c>
      <c r="AE25">
        <f>ROUND((EU25),6)</f>
        <v>0</v>
      </c>
      <c r="AF25">
        <f>ROUND((EV25),6)</f>
        <v>0</v>
      </c>
      <c r="AG25">
        <f t="shared" si="26"/>
        <v>0</v>
      </c>
      <c r="AH25">
        <f>(EW25)</f>
        <v>0</v>
      </c>
      <c r="AI25">
        <f>(EX25)</f>
        <v>0</v>
      </c>
      <c r="AJ25">
        <f t="shared" si="27"/>
        <v>0</v>
      </c>
      <c r="AK25">
        <v>54.81</v>
      </c>
      <c r="AL25">
        <v>54.81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70</v>
      </c>
      <c r="AU25">
        <v>10</v>
      </c>
      <c r="AV25">
        <v>1</v>
      </c>
      <c r="AW25">
        <v>1</v>
      </c>
      <c r="AZ25">
        <v>1</v>
      </c>
      <c r="BA25">
        <v>1</v>
      </c>
      <c r="BB25">
        <v>1</v>
      </c>
      <c r="BC25">
        <v>1</v>
      </c>
      <c r="BD25" t="s">
        <v>3</v>
      </c>
      <c r="BE25" t="s">
        <v>3</v>
      </c>
      <c r="BF25" t="s">
        <v>3</v>
      </c>
      <c r="BG25" t="s">
        <v>3</v>
      </c>
      <c r="BH25">
        <v>3</v>
      </c>
      <c r="BI25">
        <v>4</v>
      </c>
      <c r="BJ25" t="s">
        <v>26</v>
      </c>
      <c r="BM25">
        <v>0</v>
      </c>
      <c r="BN25">
        <v>0</v>
      </c>
      <c r="BO25" t="s">
        <v>3</v>
      </c>
      <c r="BP25">
        <v>0</v>
      </c>
      <c r="BQ25">
        <v>1</v>
      </c>
      <c r="BR25">
        <v>1</v>
      </c>
      <c r="BS25">
        <v>1</v>
      </c>
      <c r="BT25">
        <v>1</v>
      </c>
      <c r="BU25">
        <v>1</v>
      </c>
      <c r="BV25">
        <v>1</v>
      </c>
      <c r="BW25">
        <v>1</v>
      </c>
      <c r="BX25">
        <v>1</v>
      </c>
      <c r="BY25" t="s">
        <v>3</v>
      </c>
      <c r="BZ25">
        <v>70</v>
      </c>
      <c r="CA25">
        <v>10</v>
      </c>
      <c r="CB25" t="s">
        <v>3</v>
      </c>
      <c r="CE25">
        <v>0</v>
      </c>
      <c r="CF25">
        <v>0</v>
      </c>
      <c r="CG25">
        <v>0</v>
      </c>
      <c r="CM25">
        <v>0</v>
      </c>
      <c r="CN25" t="s">
        <v>3</v>
      </c>
      <c r="CO25">
        <v>0</v>
      </c>
      <c r="CP25">
        <f t="shared" si="28"/>
        <v>-136805.76000000001</v>
      </c>
      <c r="CQ25">
        <f t="shared" si="29"/>
        <v>54.81</v>
      </c>
      <c r="CR25">
        <f>((((ET25)*BB25-(EU25)*BS25)+AE25*BS25)*AV25)</f>
        <v>0</v>
      </c>
      <c r="CS25">
        <f t="shared" si="30"/>
        <v>0</v>
      </c>
      <c r="CT25">
        <f t="shared" si="31"/>
        <v>0</v>
      </c>
      <c r="CU25">
        <f t="shared" si="32"/>
        <v>0</v>
      </c>
      <c r="CV25">
        <f t="shared" si="33"/>
        <v>0</v>
      </c>
      <c r="CW25">
        <f t="shared" si="34"/>
        <v>0</v>
      </c>
      <c r="CX25">
        <f t="shared" si="35"/>
        <v>0</v>
      </c>
      <c r="CY25">
        <f t="shared" si="36"/>
        <v>0</v>
      </c>
      <c r="CZ25">
        <f t="shared" si="37"/>
        <v>0</v>
      </c>
      <c r="DC25" t="s">
        <v>3</v>
      </c>
      <c r="DD25" t="s">
        <v>3</v>
      </c>
      <c r="DE25" t="s">
        <v>3</v>
      </c>
      <c r="DF25" t="s">
        <v>3</v>
      </c>
      <c r="DG25" t="s">
        <v>3</v>
      </c>
      <c r="DH25" t="s">
        <v>3</v>
      </c>
      <c r="DI25" t="s">
        <v>3</v>
      </c>
      <c r="DJ25" t="s">
        <v>3</v>
      </c>
      <c r="DK25" t="s">
        <v>3</v>
      </c>
      <c r="DL25" t="s">
        <v>3</v>
      </c>
      <c r="DM25" t="s">
        <v>3</v>
      </c>
      <c r="DN25">
        <v>0</v>
      </c>
      <c r="DO25">
        <v>0</v>
      </c>
      <c r="DP25">
        <v>1</v>
      </c>
      <c r="DQ25">
        <v>1</v>
      </c>
      <c r="DU25">
        <v>1007</v>
      </c>
      <c r="DV25" t="s">
        <v>25</v>
      </c>
      <c r="DW25" t="s">
        <v>25</v>
      </c>
      <c r="DX25">
        <v>1</v>
      </c>
      <c r="DZ25" t="s">
        <v>3</v>
      </c>
      <c r="EA25" t="s">
        <v>3</v>
      </c>
      <c r="EB25" t="s">
        <v>3</v>
      </c>
      <c r="EC25" t="s">
        <v>3</v>
      </c>
      <c r="EE25">
        <v>80196140</v>
      </c>
      <c r="EF25">
        <v>1</v>
      </c>
      <c r="EG25" t="s">
        <v>19</v>
      </c>
      <c r="EH25">
        <v>0</v>
      </c>
      <c r="EI25" t="s">
        <v>3</v>
      </c>
      <c r="EJ25">
        <v>4</v>
      </c>
      <c r="EK25">
        <v>0</v>
      </c>
      <c r="EL25" t="s">
        <v>20</v>
      </c>
      <c r="EM25" t="s">
        <v>21</v>
      </c>
      <c r="EO25" t="s">
        <v>3</v>
      </c>
      <c r="EQ25">
        <v>0</v>
      </c>
      <c r="ER25">
        <v>54.81</v>
      </c>
      <c r="ES25">
        <v>54.81</v>
      </c>
      <c r="ET25">
        <v>0</v>
      </c>
      <c r="EU25">
        <v>0</v>
      </c>
      <c r="EV25">
        <v>0</v>
      </c>
      <c r="EW25">
        <v>0</v>
      </c>
      <c r="EX25">
        <v>0</v>
      </c>
      <c r="FQ25">
        <v>0</v>
      </c>
      <c r="FR25">
        <v>0</v>
      </c>
      <c r="FS25">
        <v>0</v>
      </c>
      <c r="FX25">
        <v>70</v>
      </c>
      <c r="FY25">
        <v>10</v>
      </c>
      <c r="GA25" t="s">
        <v>3</v>
      </c>
      <c r="GD25">
        <v>0</v>
      </c>
      <c r="GF25">
        <v>2112060389</v>
      </c>
      <c r="GG25">
        <v>2</v>
      </c>
      <c r="GH25">
        <v>1</v>
      </c>
      <c r="GI25">
        <v>-2</v>
      </c>
      <c r="GJ25">
        <v>0</v>
      </c>
      <c r="GK25">
        <f>ROUND(R25*(R12)/100,2)</f>
        <v>0</v>
      </c>
      <c r="GL25">
        <f t="shared" si="38"/>
        <v>0</v>
      </c>
      <c r="GM25">
        <f t="shared" si="39"/>
        <v>-136805.76000000001</v>
      </c>
      <c r="GN25">
        <f t="shared" si="40"/>
        <v>0</v>
      </c>
      <c r="GO25">
        <f t="shared" si="41"/>
        <v>0</v>
      </c>
      <c r="GP25">
        <f t="shared" si="42"/>
        <v>-136805.76000000001</v>
      </c>
      <c r="GR25">
        <v>0</v>
      </c>
      <c r="GS25">
        <v>3</v>
      </c>
      <c r="GT25">
        <v>0</v>
      </c>
      <c r="GU25" t="s">
        <v>3</v>
      </c>
      <c r="GV25">
        <f t="shared" si="43"/>
        <v>0</v>
      </c>
      <c r="GW25">
        <v>1</v>
      </c>
      <c r="GX25">
        <f t="shared" si="44"/>
        <v>0</v>
      </c>
      <c r="HA25">
        <v>0</v>
      </c>
      <c r="HB25">
        <v>0</v>
      </c>
      <c r="HC25">
        <f t="shared" si="45"/>
        <v>0</v>
      </c>
      <c r="HE25" t="s">
        <v>3</v>
      </c>
      <c r="HF25" t="s">
        <v>3</v>
      </c>
      <c r="HM25" t="s">
        <v>18</v>
      </c>
      <c r="HN25" t="s">
        <v>3</v>
      </c>
      <c r="HO25" t="s">
        <v>3</v>
      </c>
      <c r="HP25" t="s">
        <v>3</v>
      </c>
      <c r="HQ25" t="s">
        <v>3</v>
      </c>
      <c r="HS25">
        <v>0</v>
      </c>
      <c r="IK25">
        <v>0</v>
      </c>
    </row>
    <row r="26" spans="1:245" x14ac:dyDescent="0.25">
      <c r="A26">
        <v>17</v>
      </c>
      <c r="B26">
        <v>1</v>
      </c>
      <c r="C26">
        <f>ROW(SmtRes!A7)</f>
        <v>7</v>
      </c>
      <c r="D26">
        <f>ROW(EtalonRes!A7)</f>
        <v>7</v>
      </c>
      <c r="E26" t="s">
        <v>27</v>
      </c>
      <c r="F26" t="s">
        <v>28</v>
      </c>
      <c r="G26" t="s">
        <v>29</v>
      </c>
      <c r="H26" t="s">
        <v>16</v>
      </c>
      <c r="I26">
        <v>24</v>
      </c>
      <c r="J26">
        <v>0</v>
      </c>
      <c r="K26">
        <v>24</v>
      </c>
      <c r="O26">
        <f t="shared" si="14"/>
        <v>1841723.52</v>
      </c>
      <c r="P26">
        <f t="shared" si="15"/>
        <v>273611.52000000002</v>
      </c>
      <c r="Q26">
        <f t="shared" si="16"/>
        <v>1390995.84</v>
      </c>
      <c r="R26">
        <f t="shared" si="17"/>
        <v>554136.96</v>
      </c>
      <c r="S26">
        <f t="shared" si="18"/>
        <v>177116.16</v>
      </c>
      <c r="T26">
        <f t="shared" si="19"/>
        <v>0</v>
      </c>
      <c r="U26">
        <f t="shared" si="20"/>
        <v>349.44000000000005</v>
      </c>
      <c r="V26">
        <f t="shared" si="21"/>
        <v>0</v>
      </c>
      <c r="W26">
        <f t="shared" si="22"/>
        <v>0</v>
      </c>
      <c r="X26">
        <f t="shared" si="23"/>
        <v>123981.31</v>
      </c>
      <c r="Y26">
        <f t="shared" si="24"/>
        <v>17711.62</v>
      </c>
      <c r="AA26">
        <v>80891032</v>
      </c>
      <c r="AB26">
        <f t="shared" si="25"/>
        <v>76738.48</v>
      </c>
      <c r="AC26">
        <f>ROUND((((ES26*52)*2)),6)</f>
        <v>11400.48</v>
      </c>
      <c r="AD26">
        <f>ROUND((((((ET26*52)*2))-(((EU26*52)*2)))+AE26),6)</f>
        <v>57958.16</v>
      </c>
      <c r="AE26">
        <f>ROUND((((EU26*52)*2)),6)</f>
        <v>23089.040000000001</v>
      </c>
      <c r="AF26">
        <f>ROUND((((EV26*52)*2)),6)</f>
        <v>7379.84</v>
      </c>
      <c r="AG26">
        <f t="shared" si="26"/>
        <v>0</v>
      </c>
      <c r="AH26">
        <f>(((EW26*52)*2))</f>
        <v>14.560000000000002</v>
      </c>
      <c r="AI26">
        <f>(((EX26*52)*2))</f>
        <v>0</v>
      </c>
      <c r="AJ26">
        <f t="shared" si="27"/>
        <v>0</v>
      </c>
      <c r="AK26">
        <v>737.87</v>
      </c>
      <c r="AL26">
        <v>109.62</v>
      </c>
      <c r="AM26">
        <v>557.29</v>
      </c>
      <c r="AN26">
        <v>222.01</v>
      </c>
      <c r="AO26">
        <v>70.959999999999994</v>
      </c>
      <c r="AP26">
        <v>0</v>
      </c>
      <c r="AQ26">
        <v>0.14000000000000001</v>
      </c>
      <c r="AR26">
        <v>0</v>
      </c>
      <c r="AS26">
        <v>0</v>
      </c>
      <c r="AT26">
        <v>70</v>
      </c>
      <c r="AU26">
        <v>10</v>
      </c>
      <c r="AV26">
        <v>1</v>
      </c>
      <c r="AW26">
        <v>1</v>
      </c>
      <c r="AZ26">
        <v>1</v>
      </c>
      <c r="BA26">
        <v>1</v>
      </c>
      <c r="BB26">
        <v>1</v>
      </c>
      <c r="BC26">
        <v>1</v>
      </c>
      <c r="BD26" t="s">
        <v>3</v>
      </c>
      <c r="BE26" t="s">
        <v>3</v>
      </c>
      <c r="BF26" t="s">
        <v>3</v>
      </c>
      <c r="BG26" t="s">
        <v>3</v>
      </c>
      <c r="BH26">
        <v>0</v>
      </c>
      <c r="BI26">
        <v>4</v>
      </c>
      <c r="BJ26" t="s">
        <v>30</v>
      </c>
      <c r="BM26">
        <v>0</v>
      </c>
      <c r="BN26">
        <v>0</v>
      </c>
      <c r="BO26" t="s">
        <v>3</v>
      </c>
      <c r="BP26">
        <v>0</v>
      </c>
      <c r="BQ26">
        <v>1</v>
      </c>
      <c r="BR26">
        <v>0</v>
      </c>
      <c r="BS26">
        <v>1</v>
      </c>
      <c r="BT26">
        <v>1</v>
      </c>
      <c r="BU26">
        <v>1</v>
      </c>
      <c r="BV26">
        <v>1</v>
      </c>
      <c r="BW26">
        <v>1</v>
      </c>
      <c r="BX26">
        <v>1</v>
      </c>
      <c r="BY26" t="s">
        <v>3</v>
      </c>
      <c r="BZ26">
        <v>70</v>
      </c>
      <c r="CA26">
        <v>10</v>
      </c>
      <c r="CB26" t="s">
        <v>3</v>
      </c>
      <c r="CE26">
        <v>0</v>
      </c>
      <c r="CF26">
        <v>0</v>
      </c>
      <c r="CG26">
        <v>0</v>
      </c>
      <c r="CM26">
        <v>0</v>
      </c>
      <c r="CN26" t="s">
        <v>3</v>
      </c>
      <c r="CO26">
        <v>0</v>
      </c>
      <c r="CP26">
        <f t="shared" si="28"/>
        <v>1841723.52</v>
      </c>
      <c r="CQ26">
        <f t="shared" si="29"/>
        <v>11400.48</v>
      </c>
      <c r="CR26">
        <f>((((((ET26*52)*2))*BB26-(((EU26*52)*2))*BS26)+AE26*BS26)*AV26)</f>
        <v>57958.159999999996</v>
      </c>
      <c r="CS26">
        <f t="shared" si="30"/>
        <v>23089.040000000001</v>
      </c>
      <c r="CT26">
        <f t="shared" si="31"/>
        <v>7379.84</v>
      </c>
      <c r="CU26">
        <f t="shared" si="32"/>
        <v>0</v>
      </c>
      <c r="CV26">
        <f t="shared" si="33"/>
        <v>14.560000000000002</v>
      </c>
      <c r="CW26">
        <f t="shared" si="34"/>
        <v>0</v>
      </c>
      <c r="CX26">
        <f t="shared" si="35"/>
        <v>0</v>
      </c>
      <c r="CY26">
        <f t="shared" si="36"/>
        <v>123981.31200000001</v>
      </c>
      <c r="CZ26">
        <f t="shared" si="37"/>
        <v>17711.616000000002</v>
      </c>
      <c r="DC26" t="s">
        <v>3</v>
      </c>
      <c r="DD26" t="s">
        <v>18</v>
      </c>
      <c r="DE26" t="s">
        <v>18</v>
      </c>
      <c r="DF26" t="s">
        <v>18</v>
      </c>
      <c r="DG26" t="s">
        <v>18</v>
      </c>
      <c r="DH26" t="s">
        <v>3</v>
      </c>
      <c r="DI26" t="s">
        <v>18</v>
      </c>
      <c r="DJ26" t="s">
        <v>18</v>
      </c>
      <c r="DK26" t="s">
        <v>3</v>
      </c>
      <c r="DL26" t="s">
        <v>3</v>
      </c>
      <c r="DM26" t="s">
        <v>3</v>
      </c>
      <c r="DN26">
        <v>0</v>
      </c>
      <c r="DO26">
        <v>0</v>
      </c>
      <c r="DP26">
        <v>1</v>
      </c>
      <c r="DQ26">
        <v>1</v>
      </c>
      <c r="DU26">
        <v>1013</v>
      </c>
      <c r="DV26" t="s">
        <v>16</v>
      </c>
      <c r="DW26" t="s">
        <v>16</v>
      </c>
      <c r="DX26">
        <v>1</v>
      </c>
      <c r="DZ26" t="s">
        <v>3</v>
      </c>
      <c r="EA26" t="s">
        <v>3</v>
      </c>
      <c r="EB26" t="s">
        <v>3</v>
      </c>
      <c r="EC26" t="s">
        <v>3</v>
      </c>
      <c r="EE26">
        <v>80196140</v>
      </c>
      <c r="EF26">
        <v>1</v>
      </c>
      <c r="EG26" t="s">
        <v>19</v>
      </c>
      <c r="EH26">
        <v>0</v>
      </c>
      <c r="EI26" t="s">
        <v>3</v>
      </c>
      <c r="EJ26">
        <v>4</v>
      </c>
      <c r="EK26">
        <v>0</v>
      </c>
      <c r="EL26" t="s">
        <v>20</v>
      </c>
      <c r="EM26" t="s">
        <v>21</v>
      </c>
      <c r="EO26" t="s">
        <v>3</v>
      </c>
      <c r="EQ26">
        <v>0</v>
      </c>
      <c r="ER26">
        <v>737.87</v>
      </c>
      <c r="ES26">
        <v>109.62</v>
      </c>
      <c r="ET26">
        <v>557.29</v>
      </c>
      <c r="EU26">
        <v>222.01</v>
      </c>
      <c r="EV26">
        <v>70.959999999999994</v>
      </c>
      <c r="EW26">
        <v>0.14000000000000001</v>
      </c>
      <c r="EX26">
        <v>0</v>
      </c>
      <c r="EY26">
        <v>0</v>
      </c>
      <c r="FQ26">
        <v>0</v>
      </c>
      <c r="FR26">
        <v>0</v>
      </c>
      <c r="FS26">
        <v>0</v>
      </c>
      <c r="FX26">
        <v>70</v>
      </c>
      <c r="FY26">
        <v>10</v>
      </c>
      <c r="GA26" t="s">
        <v>3</v>
      </c>
      <c r="GD26">
        <v>0</v>
      </c>
      <c r="GF26">
        <v>597345317</v>
      </c>
      <c r="GG26">
        <v>2</v>
      </c>
      <c r="GH26">
        <v>1</v>
      </c>
      <c r="GI26">
        <v>-2</v>
      </c>
      <c r="GJ26">
        <v>0</v>
      </c>
      <c r="GK26">
        <f>ROUND(R26*(R12)/100,2)</f>
        <v>598467.92000000004</v>
      </c>
      <c r="GL26">
        <f t="shared" si="38"/>
        <v>0</v>
      </c>
      <c r="GM26">
        <f t="shared" si="39"/>
        <v>2581884.37</v>
      </c>
      <c r="GN26">
        <f t="shared" si="40"/>
        <v>0</v>
      </c>
      <c r="GO26">
        <f t="shared" si="41"/>
        <v>0</v>
      </c>
      <c r="GP26">
        <f t="shared" si="42"/>
        <v>2581884.37</v>
      </c>
      <c r="GR26">
        <v>0</v>
      </c>
      <c r="GS26">
        <v>3</v>
      </c>
      <c r="GT26">
        <v>0</v>
      </c>
      <c r="GU26" t="s">
        <v>3</v>
      </c>
      <c r="GV26">
        <f t="shared" si="43"/>
        <v>0</v>
      </c>
      <c r="GW26">
        <v>1</v>
      </c>
      <c r="GX26">
        <f t="shared" si="44"/>
        <v>0</v>
      </c>
      <c r="HA26">
        <v>0</v>
      </c>
      <c r="HB26">
        <v>0</v>
      </c>
      <c r="HC26">
        <f t="shared" si="45"/>
        <v>0</v>
      </c>
      <c r="HE26" t="s">
        <v>3</v>
      </c>
      <c r="HF26" t="s">
        <v>3</v>
      </c>
      <c r="HM26" t="s">
        <v>3</v>
      </c>
      <c r="HN26" t="s">
        <v>3</v>
      </c>
      <c r="HO26" t="s">
        <v>3</v>
      </c>
      <c r="HP26" t="s">
        <v>3</v>
      </c>
      <c r="HQ26" t="s">
        <v>3</v>
      </c>
      <c r="HS26">
        <v>0</v>
      </c>
      <c r="IK26">
        <v>0</v>
      </c>
    </row>
    <row r="27" spans="1:245" x14ac:dyDescent="0.25">
      <c r="A27">
        <v>18</v>
      </c>
      <c r="B27">
        <v>1</v>
      </c>
      <c r="C27">
        <v>7</v>
      </c>
      <c r="E27" t="s">
        <v>31</v>
      </c>
      <c r="F27" t="s">
        <v>23</v>
      </c>
      <c r="G27" t="s">
        <v>24</v>
      </c>
      <c r="H27" t="s">
        <v>25</v>
      </c>
      <c r="I27">
        <f>I26*J27</f>
        <v>-4992</v>
      </c>
      <c r="J27">
        <v>-208</v>
      </c>
      <c r="K27">
        <v>-2</v>
      </c>
      <c r="O27">
        <f t="shared" si="14"/>
        <v>-273611.52000000002</v>
      </c>
      <c r="P27">
        <f t="shared" si="15"/>
        <v>-273611.52000000002</v>
      </c>
      <c r="Q27">
        <f t="shared" si="16"/>
        <v>0</v>
      </c>
      <c r="R27">
        <f t="shared" si="17"/>
        <v>0</v>
      </c>
      <c r="S27">
        <f t="shared" si="18"/>
        <v>0</v>
      </c>
      <c r="T27">
        <f t="shared" si="19"/>
        <v>0</v>
      </c>
      <c r="U27">
        <f t="shared" si="20"/>
        <v>0</v>
      </c>
      <c r="V27">
        <f t="shared" si="21"/>
        <v>0</v>
      </c>
      <c r="W27">
        <f t="shared" si="22"/>
        <v>0</v>
      </c>
      <c r="X27">
        <f t="shared" si="23"/>
        <v>0</v>
      </c>
      <c r="Y27">
        <f t="shared" si="24"/>
        <v>0</v>
      </c>
      <c r="AA27">
        <v>80891032</v>
      </c>
      <c r="AB27">
        <f t="shared" si="25"/>
        <v>54.81</v>
      </c>
      <c r="AC27">
        <f>ROUND((ES27),6)</f>
        <v>54.81</v>
      </c>
      <c r="AD27">
        <f>ROUND((((ET27)-(EU27))+AE27),6)</f>
        <v>0</v>
      </c>
      <c r="AE27">
        <f>ROUND((EU27),6)</f>
        <v>0</v>
      </c>
      <c r="AF27">
        <f>ROUND((EV27),6)</f>
        <v>0</v>
      </c>
      <c r="AG27">
        <f t="shared" si="26"/>
        <v>0</v>
      </c>
      <c r="AH27">
        <f>(EW27)</f>
        <v>0</v>
      </c>
      <c r="AI27">
        <f>(EX27)</f>
        <v>0</v>
      </c>
      <c r="AJ27">
        <f t="shared" si="27"/>
        <v>0</v>
      </c>
      <c r="AK27">
        <v>54.81</v>
      </c>
      <c r="AL27">
        <v>54.81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70</v>
      </c>
      <c r="AU27">
        <v>10</v>
      </c>
      <c r="AV27">
        <v>1</v>
      </c>
      <c r="AW27">
        <v>1</v>
      </c>
      <c r="AZ27">
        <v>1</v>
      </c>
      <c r="BA27">
        <v>1</v>
      </c>
      <c r="BB27">
        <v>1</v>
      </c>
      <c r="BC27">
        <v>1</v>
      </c>
      <c r="BD27" t="s">
        <v>3</v>
      </c>
      <c r="BE27" t="s">
        <v>3</v>
      </c>
      <c r="BF27" t="s">
        <v>3</v>
      </c>
      <c r="BG27" t="s">
        <v>3</v>
      </c>
      <c r="BH27">
        <v>3</v>
      </c>
      <c r="BI27">
        <v>4</v>
      </c>
      <c r="BJ27" t="s">
        <v>26</v>
      </c>
      <c r="BM27">
        <v>0</v>
      </c>
      <c r="BN27">
        <v>0</v>
      </c>
      <c r="BO27" t="s">
        <v>3</v>
      </c>
      <c r="BP27">
        <v>0</v>
      </c>
      <c r="BQ27">
        <v>1</v>
      </c>
      <c r="BR27">
        <v>1</v>
      </c>
      <c r="BS27">
        <v>1</v>
      </c>
      <c r="BT27">
        <v>1</v>
      </c>
      <c r="BU27">
        <v>1</v>
      </c>
      <c r="BV27">
        <v>1</v>
      </c>
      <c r="BW27">
        <v>1</v>
      </c>
      <c r="BX27">
        <v>1</v>
      </c>
      <c r="BY27" t="s">
        <v>3</v>
      </c>
      <c r="BZ27">
        <v>70</v>
      </c>
      <c r="CA27">
        <v>10</v>
      </c>
      <c r="CB27" t="s">
        <v>3</v>
      </c>
      <c r="CE27">
        <v>0</v>
      </c>
      <c r="CF27">
        <v>0</v>
      </c>
      <c r="CG27">
        <v>0</v>
      </c>
      <c r="CM27">
        <v>0</v>
      </c>
      <c r="CN27" t="s">
        <v>3</v>
      </c>
      <c r="CO27">
        <v>0</v>
      </c>
      <c r="CP27">
        <f t="shared" si="28"/>
        <v>-273611.52000000002</v>
      </c>
      <c r="CQ27">
        <f t="shared" si="29"/>
        <v>54.81</v>
      </c>
      <c r="CR27">
        <f>((((ET27)*BB27-(EU27)*BS27)+AE27*BS27)*AV27)</f>
        <v>0</v>
      </c>
      <c r="CS27">
        <f t="shared" si="30"/>
        <v>0</v>
      </c>
      <c r="CT27">
        <f t="shared" si="31"/>
        <v>0</v>
      </c>
      <c r="CU27">
        <f t="shared" si="32"/>
        <v>0</v>
      </c>
      <c r="CV27">
        <f t="shared" si="33"/>
        <v>0</v>
      </c>
      <c r="CW27">
        <f t="shared" si="34"/>
        <v>0</v>
      </c>
      <c r="CX27">
        <f t="shared" si="35"/>
        <v>0</v>
      </c>
      <c r="CY27">
        <f t="shared" si="36"/>
        <v>0</v>
      </c>
      <c r="CZ27">
        <f t="shared" si="37"/>
        <v>0</v>
      </c>
      <c r="DC27" t="s">
        <v>3</v>
      </c>
      <c r="DD27" t="s">
        <v>3</v>
      </c>
      <c r="DE27" t="s">
        <v>3</v>
      </c>
      <c r="DF27" t="s">
        <v>3</v>
      </c>
      <c r="DG27" t="s">
        <v>3</v>
      </c>
      <c r="DH27" t="s">
        <v>3</v>
      </c>
      <c r="DI27" t="s">
        <v>3</v>
      </c>
      <c r="DJ27" t="s">
        <v>3</v>
      </c>
      <c r="DK27" t="s">
        <v>3</v>
      </c>
      <c r="DL27" t="s">
        <v>3</v>
      </c>
      <c r="DM27" t="s">
        <v>3</v>
      </c>
      <c r="DN27">
        <v>0</v>
      </c>
      <c r="DO27">
        <v>0</v>
      </c>
      <c r="DP27">
        <v>1</v>
      </c>
      <c r="DQ27">
        <v>1</v>
      </c>
      <c r="DU27">
        <v>1007</v>
      </c>
      <c r="DV27" t="s">
        <v>25</v>
      </c>
      <c r="DW27" t="s">
        <v>25</v>
      </c>
      <c r="DX27">
        <v>1</v>
      </c>
      <c r="DZ27" t="s">
        <v>3</v>
      </c>
      <c r="EA27" t="s">
        <v>3</v>
      </c>
      <c r="EB27" t="s">
        <v>3</v>
      </c>
      <c r="EC27" t="s">
        <v>3</v>
      </c>
      <c r="EE27">
        <v>80196140</v>
      </c>
      <c r="EF27">
        <v>1</v>
      </c>
      <c r="EG27" t="s">
        <v>19</v>
      </c>
      <c r="EH27">
        <v>0</v>
      </c>
      <c r="EI27" t="s">
        <v>3</v>
      </c>
      <c r="EJ27">
        <v>4</v>
      </c>
      <c r="EK27">
        <v>0</v>
      </c>
      <c r="EL27" t="s">
        <v>20</v>
      </c>
      <c r="EM27" t="s">
        <v>21</v>
      </c>
      <c r="EO27" t="s">
        <v>3</v>
      </c>
      <c r="EQ27">
        <v>0</v>
      </c>
      <c r="ER27">
        <v>54.81</v>
      </c>
      <c r="ES27">
        <v>54.81</v>
      </c>
      <c r="ET27">
        <v>0</v>
      </c>
      <c r="EU27">
        <v>0</v>
      </c>
      <c r="EV27">
        <v>0</v>
      </c>
      <c r="EW27">
        <v>0</v>
      </c>
      <c r="EX27">
        <v>0</v>
      </c>
      <c r="FQ27">
        <v>0</v>
      </c>
      <c r="FR27">
        <v>0</v>
      </c>
      <c r="FS27">
        <v>0</v>
      </c>
      <c r="FX27">
        <v>70</v>
      </c>
      <c r="FY27">
        <v>10</v>
      </c>
      <c r="GA27" t="s">
        <v>3</v>
      </c>
      <c r="GD27">
        <v>0</v>
      </c>
      <c r="GF27">
        <v>2112060389</v>
      </c>
      <c r="GG27">
        <v>2</v>
      </c>
      <c r="GH27">
        <v>1</v>
      </c>
      <c r="GI27">
        <v>-2</v>
      </c>
      <c r="GJ27">
        <v>0</v>
      </c>
      <c r="GK27">
        <f>ROUND(R27*(R12)/100,2)</f>
        <v>0</v>
      </c>
      <c r="GL27">
        <f t="shared" si="38"/>
        <v>0</v>
      </c>
      <c r="GM27">
        <f t="shared" si="39"/>
        <v>-273611.52000000002</v>
      </c>
      <c r="GN27">
        <f t="shared" si="40"/>
        <v>0</v>
      </c>
      <c r="GO27">
        <f t="shared" si="41"/>
        <v>0</v>
      </c>
      <c r="GP27">
        <f t="shared" si="42"/>
        <v>-273611.52000000002</v>
      </c>
      <c r="GR27">
        <v>0</v>
      </c>
      <c r="GS27">
        <v>3</v>
      </c>
      <c r="GT27">
        <v>0</v>
      </c>
      <c r="GU27" t="s">
        <v>3</v>
      </c>
      <c r="GV27">
        <f t="shared" si="43"/>
        <v>0</v>
      </c>
      <c r="GW27">
        <v>1</v>
      </c>
      <c r="GX27">
        <f t="shared" si="44"/>
        <v>0</v>
      </c>
      <c r="HA27">
        <v>0</v>
      </c>
      <c r="HB27">
        <v>0</v>
      </c>
      <c r="HC27">
        <f t="shared" si="45"/>
        <v>0</v>
      </c>
      <c r="HE27" t="s">
        <v>3</v>
      </c>
      <c r="HF27" t="s">
        <v>3</v>
      </c>
      <c r="HM27" t="s">
        <v>18</v>
      </c>
      <c r="HN27" t="s">
        <v>3</v>
      </c>
      <c r="HO27" t="s">
        <v>3</v>
      </c>
      <c r="HP27" t="s">
        <v>3</v>
      </c>
      <c r="HQ27" t="s">
        <v>3</v>
      </c>
      <c r="HS27">
        <v>0</v>
      </c>
      <c r="IK27">
        <v>0</v>
      </c>
    </row>
    <row r="28" spans="1:245" x14ac:dyDescent="0.25">
      <c r="A28">
        <v>17</v>
      </c>
      <c r="B28">
        <v>1</v>
      </c>
      <c r="C28">
        <f>ROW(SmtRes!A12)</f>
        <v>12</v>
      </c>
      <c r="D28">
        <f>ROW(EtalonRes!A12)</f>
        <v>12</v>
      </c>
      <c r="E28" t="s">
        <v>32</v>
      </c>
      <c r="F28" t="s">
        <v>33</v>
      </c>
      <c r="G28" t="s">
        <v>34</v>
      </c>
      <c r="H28" t="s">
        <v>16</v>
      </c>
      <c r="I28">
        <v>24</v>
      </c>
      <c r="J28">
        <v>0</v>
      </c>
      <c r="K28">
        <v>24</v>
      </c>
      <c r="O28">
        <f t="shared" si="14"/>
        <v>1606425.6000000001</v>
      </c>
      <c r="P28">
        <f t="shared" si="15"/>
        <v>143145.60000000001</v>
      </c>
      <c r="Q28">
        <f t="shared" si="16"/>
        <v>0</v>
      </c>
      <c r="R28">
        <f t="shared" si="17"/>
        <v>0</v>
      </c>
      <c r="S28">
        <f t="shared" si="18"/>
        <v>1463280</v>
      </c>
      <c r="T28">
        <f t="shared" si="19"/>
        <v>0</v>
      </c>
      <c r="U28">
        <f t="shared" si="20"/>
        <v>4492.7999999999993</v>
      </c>
      <c r="V28">
        <f t="shared" si="21"/>
        <v>0</v>
      </c>
      <c r="W28">
        <f t="shared" si="22"/>
        <v>0</v>
      </c>
      <c r="X28">
        <f t="shared" si="23"/>
        <v>1024296</v>
      </c>
      <c r="Y28">
        <f t="shared" si="24"/>
        <v>146328</v>
      </c>
      <c r="AA28">
        <v>80891032</v>
      </c>
      <c r="AB28">
        <f t="shared" si="25"/>
        <v>66934.399999999994</v>
      </c>
      <c r="AC28">
        <f>ROUND((((ES28*52)*5)),6)</f>
        <v>5964.4</v>
      </c>
      <c r="AD28">
        <f>ROUND((((((ET28*52)*5))-(((EU28*52)*5)))+AE28),6)</f>
        <v>0</v>
      </c>
      <c r="AE28">
        <f>ROUND((((EU28*52)*5)),6)</f>
        <v>0</v>
      </c>
      <c r="AF28">
        <f>ROUND((((EV28*52)*5)),6)</f>
        <v>60970</v>
      </c>
      <c r="AG28">
        <f t="shared" si="26"/>
        <v>0</v>
      </c>
      <c r="AH28">
        <f>(((EW28*52)*5))</f>
        <v>187.2</v>
      </c>
      <c r="AI28">
        <f>(((EX28*52)*5))</f>
        <v>0</v>
      </c>
      <c r="AJ28">
        <f t="shared" si="27"/>
        <v>0</v>
      </c>
      <c r="AK28">
        <v>257.44</v>
      </c>
      <c r="AL28">
        <v>22.94</v>
      </c>
      <c r="AM28">
        <v>0</v>
      </c>
      <c r="AN28">
        <v>0</v>
      </c>
      <c r="AO28">
        <v>234.5</v>
      </c>
      <c r="AP28">
        <v>0</v>
      </c>
      <c r="AQ28">
        <v>0.72</v>
      </c>
      <c r="AR28">
        <v>0</v>
      </c>
      <c r="AS28">
        <v>0</v>
      </c>
      <c r="AT28">
        <v>70</v>
      </c>
      <c r="AU28">
        <v>10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4</v>
      </c>
      <c r="BJ28" t="s">
        <v>35</v>
      </c>
      <c r="BM28">
        <v>0</v>
      </c>
      <c r="BN28">
        <v>0</v>
      </c>
      <c r="BO28" t="s">
        <v>3</v>
      </c>
      <c r="BP28">
        <v>0</v>
      </c>
      <c r="BQ28">
        <v>1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70</v>
      </c>
      <c r="CA28">
        <v>10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si="28"/>
        <v>1606425.6000000001</v>
      </c>
      <c r="CQ28">
        <f t="shared" si="29"/>
        <v>5964.4</v>
      </c>
      <c r="CR28">
        <f>((((((ET28*52)*5))*BB28-(((EU28*52)*5))*BS28)+AE28*BS28)*AV28)</f>
        <v>0</v>
      </c>
      <c r="CS28">
        <f t="shared" si="30"/>
        <v>0</v>
      </c>
      <c r="CT28">
        <f t="shared" si="31"/>
        <v>60970</v>
      </c>
      <c r="CU28">
        <f t="shared" si="32"/>
        <v>0</v>
      </c>
      <c r="CV28">
        <f t="shared" si="33"/>
        <v>187.2</v>
      </c>
      <c r="CW28">
        <f t="shared" si="34"/>
        <v>0</v>
      </c>
      <c r="CX28">
        <f t="shared" si="35"/>
        <v>0</v>
      </c>
      <c r="CY28">
        <f t="shared" si="36"/>
        <v>1024296</v>
      </c>
      <c r="CZ28">
        <f t="shared" si="37"/>
        <v>146328</v>
      </c>
      <c r="DC28" t="s">
        <v>3</v>
      </c>
      <c r="DD28" t="s">
        <v>36</v>
      </c>
      <c r="DE28" t="s">
        <v>36</v>
      </c>
      <c r="DF28" t="s">
        <v>36</v>
      </c>
      <c r="DG28" t="s">
        <v>36</v>
      </c>
      <c r="DH28" t="s">
        <v>3</v>
      </c>
      <c r="DI28" t="s">
        <v>36</v>
      </c>
      <c r="DJ28" t="s">
        <v>36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16</v>
      </c>
      <c r="DW28" t="s">
        <v>16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80196140</v>
      </c>
      <c r="EF28">
        <v>1</v>
      </c>
      <c r="EG28" t="s">
        <v>19</v>
      </c>
      <c r="EH28">
        <v>0</v>
      </c>
      <c r="EI28" t="s">
        <v>3</v>
      </c>
      <c r="EJ28">
        <v>4</v>
      </c>
      <c r="EK28">
        <v>0</v>
      </c>
      <c r="EL28" t="s">
        <v>20</v>
      </c>
      <c r="EM28" t="s">
        <v>21</v>
      </c>
      <c r="EO28" t="s">
        <v>3</v>
      </c>
      <c r="EQ28">
        <v>0</v>
      </c>
      <c r="ER28">
        <v>257.44</v>
      </c>
      <c r="ES28">
        <v>22.94</v>
      </c>
      <c r="ET28">
        <v>0</v>
      </c>
      <c r="EU28">
        <v>0</v>
      </c>
      <c r="EV28">
        <v>234.5</v>
      </c>
      <c r="EW28">
        <v>0.72</v>
      </c>
      <c r="EX28">
        <v>0</v>
      </c>
      <c r="EY28">
        <v>0</v>
      </c>
      <c r="FQ28">
        <v>0</v>
      </c>
      <c r="FR28">
        <v>0</v>
      </c>
      <c r="FS28">
        <v>0</v>
      </c>
      <c r="FX28">
        <v>70</v>
      </c>
      <c r="FY28">
        <v>10</v>
      </c>
      <c r="GA28" t="s">
        <v>3</v>
      </c>
      <c r="GD28">
        <v>0</v>
      </c>
      <c r="GF28">
        <v>145918530</v>
      </c>
      <c r="GG28">
        <v>2</v>
      </c>
      <c r="GH28">
        <v>1</v>
      </c>
      <c r="GI28">
        <v>-2</v>
      </c>
      <c r="GJ28">
        <v>0</v>
      </c>
      <c r="GK28">
        <f>ROUND(R28*(R12)/100,2)</f>
        <v>0</v>
      </c>
      <c r="GL28">
        <f t="shared" si="38"/>
        <v>0</v>
      </c>
      <c r="GM28">
        <f t="shared" si="39"/>
        <v>2777049.6</v>
      </c>
      <c r="GN28">
        <f t="shared" si="40"/>
        <v>0</v>
      </c>
      <c r="GO28">
        <f t="shared" si="41"/>
        <v>0</v>
      </c>
      <c r="GP28">
        <f t="shared" si="42"/>
        <v>2777049.6</v>
      </c>
      <c r="GR28">
        <v>0</v>
      </c>
      <c r="GS28">
        <v>3</v>
      </c>
      <c r="GT28">
        <v>0</v>
      </c>
      <c r="GU28" t="s">
        <v>3</v>
      </c>
      <c r="GV28">
        <f t="shared" si="43"/>
        <v>0</v>
      </c>
      <c r="GW28">
        <v>1</v>
      </c>
      <c r="GX28">
        <f t="shared" si="44"/>
        <v>0</v>
      </c>
      <c r="HA28">
        <v>0</v>
      </c>
      <c r="HB28">
        <v>0</v>
      </c>
      <c r="HC28">
        <f t="shared" si="45"/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HS28">
        <v>0</v>
      </c>
      <c r="IK28">
        <v>0</v>
      </c>
    </row>
    <row r="29" spans="1:245" x14ac:dyDescent="0.25">
      <c r="A29">
        <v>18</v>
      </c>
      <c r="B29">
        <v>1</v>
      </c>
      <c r="C29">
        <v>11</v>
      </c>
      <c r="E29" t="s">
        <v>37</v>
      </c>
      <c r="F29" t="s">
        <v>23</v>
      </c>
      <c r="G29" t="s">
        <v>24</v>
      </c>
      <c r="H29" t="s">
        <v>25</v>
      </c>
      <c r="I29">
        <f>I28*J29</f>
        <v>-187.2</v>
      </c>
      <c r="J29">
        <v>-7.8</v>
      </c>
      <c r="K29">
        <v>-0.03</v>
      </c>
      <c r="O29">
        <f t="shared" si="14"/>
        <v>-10260.43</v>
      </c>
      <c r="P29">
        <f t="shared" si="15"/>
        <v>-10260.43</v>
      </c>
      <c r="Q29">
        <f t="shared" si="16"/>
        <v>0</v>
      </c>
      <c r="R29">
        <f t="shared" si="17"/>
        <v>0</v>
      </c>
      <c r="S29">
        <f t="shared" si="18"/>
        <v>0</v>
      </c>
      <c r="T29">
        <f t="shared" si="19"/>
        <v>0</v>
      </c>
      <c r="U29">
        <f t="shared" si="20"/>
        <v>0</v>
      </c>
      <c r="V29">
        <f t="shared" si="21"/>
        <v>0</v>
      </c>
      <c r="W29">
        <f t="shared" si="22"/>
        <v>0</v>
      </c>
      <c r="X29">
        <f t="shared" si="23"/>
        <v>0</v>
      </c>
      <c r="Y29">
        <f t="shared" si="24"/>
        <v>0</v>
      </c>
      <c r="AA29">
        <v>80891032</v>
      </c>
      <c r="AB29">
        <f t="shared" si="25"/>
        <v>54.81</v>
      </c>
      <c r="AC29">
        <f>ROUND((ES29),6)</f>
        <v>54.81</v>
      </c>
      <c r="AD29">
        <f>ROUND((((ET29)-(EU29))+AE29),6)</f>
        <v>0</v>
      </c>
      <c r="AE29">
        <f>ROUND((EU29),6)</f>
        <v>0</v>
      </c>
      <c r="AF29">
        <f>ROUND((EV29),6)</f>
        <v>0</v>
      </c>
      <c r="AG29">
        <f t="shared" si="26"/>
        <v>0</v>
      </c>
      <c r="AH29">
        <f>(EW29)</f>
        <v>0</v>
      </c>
      <c r="AI29">
        <f>(EX29)</f>
        <v>0</v>
      </c>
      <c r="AJ29">
        <f t="shared" si="27"/>
        <v>0</v>
      </c>
      <c r="AK29">
        <v>54.81</v>
      </c>
      <c r="AL29">
        <v>54.81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70</v>
      </c>
      <c r="AU29">
        <v>10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3</v>
      </c>
      <c r="BI29">
        <v>4</v>
      </c>
      <c r="BJ29" t="s">
        <v>26</v>
      </c>
      <c r="BM29">
        <v>0</v>
      </c>
      <c r="BN29">
        <v>0</v>
      </c>
      <c r="BO29" t="s">
        <v>3</v>
      </c>
      <c r="BP29">
        <v>0</v>
      </c>
      <c r="BQ29">
        <v>1</v>
      </c>
      <c r="BR29">
        <v>1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70</v>
      </c>
      <c r="CA29">
        <v>10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28"/>
        <v>-10260.43</v>
      </c>
      <c r="CQ29">
        <f t="shared" si="29"/>
        <v>54.81</v>
      </c>
      <c r="CR29">
        <f>((((ET29)*BB29-(EU29)*BS29)+AE29*BS29)*AV29)</f>
        <v>0</v>
      </c>
      <c r="CS29">
        <f t="shared" si="30"/>
        <v>0</v>
      </c>
      <c r="CT29">
        <f t="shared" si="31"/>
        <v>0</v>
      </c>
      <c r="CU29">
        <f t="shared" si="32"/>
        <v>0</v>
      </c>
      <c r="CV29">
        <f t="shared" si="33"/>
        <v>0</v>
      </c>
      <c r="CW29">
        <f t="shared" si="34"/>
        <v>0</v>
      </c>
      <c r="CX29">
        <f t="shared" si="35"/>
        <v>0</v>
      </c>
      <c r="CY29">
        <f t="shared" si="36"/>
        <v>0</v>
      </c>
      <c r="CZ29">
        <f t="shared" si="37"/>
        <v>0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1007</v>
      </c>
      <c r="DV29" t="s">
        <v>25</v>
      </c>
      <c r="DW29" t="s">
        <v>25</v>
      </c>
      <c r="DX29">
        <v>1</v>
      </c>
      <c r="DZ29" t="s">
        <v>3</v>
      </c>
      <c r="EA29" t="s">
        <v>3</v>
      </c>
      <c r="EB29" t="s">
        <v>3</v>
      </c>
      <c r="EC29" t="s">
        <v>3</v>
      </c>
      <c r="EE29">
        <v>80196140</v>
      </c>
      <c r="EF29">
        <v>1</v>
      </c>
      <c r="EG29" t="s">
        <v>19</v>
      </c>
      <c r="EH29">
        <v>0</v>
      </c>
      <c r="EI29" t="s">
        <v>3</v>
      </c>
      <c r="EJ29">
        <v>4</v>
      </c>
      <c r="EK29">
        <v>0</v>
      </c>
      <c r="EL29" t="s">
        <v>20</v>
      </c>
      <c r="EM29" t="s">
        <v>21</v>
      </c>
      <c r="EO29" t="s">
        <v>3</v>
      </c>
      <c r="EQ29">
        <v>0</v>
      </c>
      <c r="ER29">
        <v>54.81</v>
      </c>
      <c r="ES29">
        <v>54.81</v>
      </c>
      <c r="ET29">
        <v>0</v>
      </c>
      <c r="EU29">
        <v>0</v>
      </c>
      <c r="EV29">
        <v>0</v>
      </c>
      <c r="EW29">
        <v>0</v>
      </c>
      <c r="EX29">
        <v>0</v>
      </c>
      <c r="FQ29">
        <v>0</v>
      </c>
      <c r="FR29">
        <v>0</v>
      </c>
      <c r="FS29">
        <v>0</v>
      </c>
      <c r="FX29">
        <v>70</v>
      </c>
      <c r="FY29">
        <v>10</v>
      </c>
      <c r="GA29" t="s">
        <v>3</v>
      </c>
      <c r="GD29">
        <v>0</v>
      </c>
      <c r="GF29">
        <v>2112060389</v>
      </c>
      <c r="GG29">
        <v>2</v>
      </c>
      <c r="GH29">
        <v>1</v>
      </c>
      <c r="GI29">
        <v>-2</v>
      </c>
      <c r="GJ29">
        <v>0</v>
      </c>
      <c r="GK29">
        <f>ROUND(R29*(R12)/100,2)</f>
        <v>0</v>
      </c>
      <c r="GL29">
        <f t="shared" si="38"/>
        <v>0</v>
      </c>
      <c r="GM29">
        <f t="shared" si="39"/>
        <v>-10260.43</v>
      </c>
      <c r="GN29">
        <f t="shared" si="40"/>
        <v>0</v>
      </c>
      <c r="GO29">
        <f t="shared" si="41"/>
        <v>0</v>
      </c>
      <c r="GP29">
        <f t="shared" si="42"/>
        <v>-10260.43</v>
      </c>
      <c r="GR29">
        <v>0</v>
      </c>
      <c r="GS29">
        <v>3</v>
      </c>
      <c r="GT29">
        <v>0</v>
      </c>
      <c r="GU29" t="s">
        <v>3</v>
      </c>
      <c r="GV29">
        <f t="shared" si="43"/>
        <v>0</v>
      </c>
      <c r="GW29">
        <v>1</v>
      </c>
      <c r="GX29">
        <f t="shared" si="44"/>
        <v>0</v>
      </c>
      <c r="HA29">
        <v>0</v>
      </c>
      <c r="HB29">
        <v>0</v>
      </c>
      <c r="HC29">
        <f t="shared" si="45"/>
        <v>0</v>
      </c>
      <c r="HE29" t="s">
        <v>3</v>
      </c>
      <c r="HF29" t="s">
        <v>3</v>
      </c>
      <c r="HM29" t="s">
        <v>36</v>
      </c>
      <c r="HN29" t="s">
        <v>3</v>
      </c>
      <c r="HO29" t="s">
        <v>3</v>
      </c>
      <c r="HP29" t="s">
        <v>3</v>
      </c>
      <c r="HQ29" t="s">
        <v>3</v>
      </c>
      <c r="HS29">
        <v>0</v>
      </c>
      <c r="IK29">
        <v>0</v>
      </c>
    </row>
    <row r="30" spans="1:245" x14ac:dyDescent="0.25">
      <c r="A30">
        <v>17</v>
      </c>
      <c r="B30">
        <v>1</v>
      </c>
      <c r="C30">
        <f>ROW(SmtRes!A15)</f>
        <v>15</v>
      </c>
      <c r="D30">
        <f>ROW(EtalonRes!A16)</f>
        <v>16</v>
      </c>
      <c r="E30" t="s">
        <v>38</v>
      </c>
      <c r="F30" t="s">
        <v>39</v>
      </c>
      <c r="G30" t="s">
        <v>40</v>
      </c>
      <c r="H30" t="s">
        <v>41</v>
      </c>
      <c r="I30">
        <v>2</v>
      </c>
      <c r="J30">
        <v>0</v>
      </c>
      <c r="K30">
        <v>2</v>
      </c>
      <c r="O30">
        <f t="shared" si="14"/>
        <v>28815.8</v>
      </c>
      <c r="P30">
        <f t="shared" si="15"/>
        <v>0</v>
      </c>
      <c r="Q30">
        <f t="shared" si="16"/>
        <v>21435.96</v>
      </c>
      <c r="R30">
        <f t="shared" si="17"/>
        <v>8564.4</v>
      </c>
      <c r="S30">
        <f t="shared" si="18"/>
        <v>7379.84</v>
      </c>
      <c r="T30">
        <f t="shared" si="19"/>
        <v>0</v>
      </c>
      <c r="U30">
        <f t="shared" si="20"/>
        <v>14.560000000000002</v>
      </c>
      <c r="V30">
        <f t="shared" si="21"/>
        <v>0</v>
      </c>
      <c r="W30">
        <f t="shared" si="22"/>
        <v>0</v>
      </c>
      <c r="X30">
        <f t="shared" si="23"/>
        <v>5165.8900000000003</v>
      </c>
      <c r="Y30">
        <f t="shared" si="24"/>
        <v>737.98</v>
      </c>
      <c r="AA30">
        <v>80891032</v>
      </c>
      <c r="AB30">
        <f t="shared" si="25"/>
        <v>14407.9</v>
      </c>
      <c r="AC30">
        <f>ROUND(((ES30*26)),6)</f>
        <v>0</v>
      </c>
      <c r="AD30">
        <f>ROUND(((((ET30*26))-((EU30*26)))+AE30),6)</f>
        <v>10717.98</v>
      </c>
      <c r="AE30">
        <f>ROUND(((EU30*26)),6)</f>
        <v>4282.2</v>
      </c>
      <c r="AF30">
        <f>ROUND(((EV30*26)),6)</f>
        <v>3689.92</v>
      </c>
      <c r="AG30">
        <f t="shared" si="26"/>
        <v>0</v>
      </c>
      <c r="AH30">
        <f>((EW30*26))</f>
        <v>7.2800000000000011</v>
      </c>
      <c r="AI30">
        <f>((EX30*26))</f>
        <v>0</v>
      </c>
      <c r="AJ30">
        <f t="shared" si="27"/>
        <v>0</v>
      </c>
      <c r="AK30">
        <v>554.15</v>
      </c>
      <c r="AL30">
        <v>0</v>
      </c>
      <c r="AM30">
        <v>412.23</v>
      </c>
      <c r="AN30">
        <v>164.7</v>
      </c>
      <c r="AO30">
        <v>141.91999999999999</v>
      </c>
      <c r="AP30">
        <v>0</v>
      </c>
      <c r="AQ30">
        <v>0.28000000000000003</v>
      </c>
      <c r="AR30">
        <v>0</v>
      </c>
      <c r="AS30">
        <v>0</v>
      </c>
      <c r="AT30">
        <v>70</v>
      </c>
      <c r="AU30">
        <v>10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4</v>
      </c>
      <c r="BJ30" t="s">
        <v>42</v>
      </c>
      <c r="BM30">
        <v>0</v>
      </c>
      <c r="BN30">
        <v>0</v>
      </c>
      <c r="BO30" t="s">
        <v>3</v>
      </c>
      <c r="BP30">
        <v>0</v>
      </c>
      <c r="BQ30">
        <v>1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10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28"/>
        <v>28815.8</v>
      </c>
      <c r="CQ30">
        <f t="shared" si="29"/>
        <v>0</v>
      </c>
      <c r="CR30">
        <f>(((((ET30*26))*BB30-((EU30*26))*BS30)+AE30*BS30)*AV30)</f>
        <v>10717.98</v>
      </c>
      <c r="CS30">
        <f t="shared" si="30"/>
        <v>4282.2</v>
      </c>
      <c r="CT30">
        <f t="shared" si="31"/>
        <v>3689.92</v>
      </c>
      <c r="CU30">
        <f t="shared" si="32"/>
        <v>0</v>
      </c>
      <c r="CV30">
        <f t="shared" si="33"/>
        <v>7.2800000000000011</v>
      </c>
      <c r="CW30">
        <f t="shared" si="34"/>
        <v>0</v>
      </c>
      <c r="CX30">
        <f t="shared" si="35"/>
        <v>0</v>
      </c>
      <c r="CY30">
        <f t="shared" si="36"/>
        <v>5165.8879999999999</v>
      </c>
      <c r="CZ30">
        <f t="shared" si="37"/>
        <v>737.98399999999992</v>
      </c>
      <c r="DC30" t="s">
        <v>3</v>
      </c>
      <c r="DD30" t="s">
        <v>43</v>
      </c>
      <c r="DE30" t="s">
        <v>43</v>
      </c>
      <c r="DF30" t="s">
        <v>43</v>
      </c>
      <c r="DG30" t="s">
        <v>43</v>
      </c>
      <c r="DH30" t="s">
        <v>3</v>
      </c>
      <c r="DI30" t="s">
        <v>43</v>
      </c>
      <c r="DJ30" t="s">
        <v>43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1010</v>
      </c>
      <c r="DV30" t="s">
        <v>41</v>
      </c>
      <c r="DW30" t="s">
        <v>41</v>
      </c>
      <c r="DX30">
        <v>1</v>
      </c>
      <c r="DZ30" t="s">
        <v>3</v>
      </c>
      <c r="EA30" t="s">
        <v>3</v>
      </c>
      <c r="EB30" t="s">
        <v>3</v>
      </c>
      <c r="EC30" t="s">
        <v>3</v>
      </c>
      <c r="EE30">
        <v>80196140</v>
      </c>
      <c r="EF30">
        <v>1</v>
      </c>
      <c r="EG30" t="s">
        <v>19</v>
      </c>
      <c r="EH30">
        <v>0</v>
      </c>
      <c r="EI30" t="s">
        <v>3</v>
      </c>
      <c r="EJ30">
        <v>4</v>
      </c>
      <c r="EK30">
        <v>0</v>
      </c>
      <c r="EL30" t="s">
        <v>20</v>
      </c>
      <c r="EM30" t="s">
        <v>21</v>
      </c>
      <c r="EO30" t="s">
        <v>3</v>
      </c>
      <c r="EQ30">
        <v>0</v>
      </c>
      <c r="ER30">
        <v>554.15</v>
      </c>
      <c r="ES30">
        <v>0</v>
      </c>
      <c r="ET30">
        <v>412.23</v>
      </c>
      <c r="EU30">
        <v>164.7</v>
      </c>
      <c r="EV30">
        <v>141.91999999999999</v>
      </c>
      <c r="EW30">
        <v>0.28000000000000003</v>
      </c>
      <c r="EX30">
        <v>0</v>
      </c>
      <c r="EY30">
        <v>0</v>
      </c>
      <c r="FQ30">
        <v>0</v>
      </c>
      <c r="FR30">
        <v>0</v>
      </c>
      <c r="FS30">
        <v>0</v>
      </c>
      <c r="FX30">
        <v>70</v>
      </c>
      <c r="FY30">
        <v>10</v>
      </c>
      <c r="GA30" t="s">
        <v>3</v>
      </c>
      <c r="GD30">
        <v>0</v>
      </c>
      <c r="GF30">
        <v>-706363131</v>
      </c>
      <c r="GG30">
        <v>2</v>
      </c>
      <c r="GH30">
        <v>1</v>
      </c>
      <c r="GI30">
        <v>-2</v>
      </c>
      <c r="GJ30">
        <v>0</v>
      </c>
      <c r="GK30">
        <f>ROUND(R30*(R12)/100,2)</f>
        <v>9249.5499999999993</v>
      </c>
      <c r="GL30">
        <f t="shared" si="38"/>
        <v>0</v>
      </c>
      <c r="GM30">
        <f t="shared" si="39"/>
        <v>43969.22</v>
      </c>
      <c r="GN30">
        <f t="shared" si="40"/>
        <v>0</v>
      </c>
      <c r="GO30">
        <f t="shared" si="41"/>
        <v>0</v>
      </c>
      <c r="GP30">
        <f t="shared" si="42"/>
        <v>43969.22</v>
      </c>
      <c r="GR30">
        <v>0</v>
      </c>
      <c r="GS30">
        <v>3</v>
      </c>
      <c r="GT30">
        <v>0</v>
      </c>
      <c r="GU30" t="s">
        <v>3</v>
      </c>
      <c r="GV30">
        <f t="shared" si="43"/>
        <v>0</v>
      </c>
      <c r="GW30">
        <v>1</v>
      </c>
      <c r="GX30">
        <f t="shared" si="44"/>
        <v>0</v>
      </c>
      <c r="HA30">
        <v>0</v>
      </c>
      <c r="HB30">
        <v>0</v>
      </c>
      <c r="HC30">
        <f t="shared" si="45"/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HS30">
        <v>0</v>
      </c>
      <c r="IK30">
        <v>0</v>
      </c>
    </row>
    <row r="31" spans="1:245" x14ac:dyDescent="0.25">
      <c r="A31">
        <v>18</v>
      </c>
      <c r="B31">
        <v>1</v>
      </c>
      <c r="C31">
        <v>15</v>
      </c>
      <c r="E31" t="s">
        <v>44</v>
      </c>
      <c r="F31" t="s">
        <v>45</v>
      </c>
      <c r="G31" t="s">
        <v>46</v>
      </c>
      <c r="H31" t="s">
        <v>47</v>
      </c>
      <c r="I31">
        <f>I30*J31</f>
        <v>13</v>
      </c>
      <c r="J31">
        <v>6.5</v>
      </c>
      <c r="K31">
        <v>6.5</v>
      </c>
      <c r="O31">
        <f t="shared" si="14"/>
        <v>7065.63</v>
      </c>
      <c r="P31">
        <f t="shared" si="15"/>
        <v>7065.63</v>
      </c>
      <c r="Q31">
        <f t="shared" si="16"/>
        <v>0</v>
      </c>
      <c r="R31">
        <f t="shared" si="17"/>
        <v>0</v>
      </c>
      <c r="S31">
        <f t="shared" si="18"/>
        <v>0</v>
      </c>
      <c r="T31">
        <f t="shared" si="19"/>
        <v>0</v>
      </c>
      <c r="U31">
        <f t="shared" si="20"/>
        <v>0</v>
      </c>
      <c r="V31">
        <f t="shared" si="21"/>
        <v>0</v>
      </c>
      <c r="W31">
        <f t="shared" si="22"/>
        <v>0</v>
      </c>
      <c r="X31">
        <f t="shared" si="23"/>
        <v>0</v>
      </c>
      <c r="Y31">
        <f t="shared" si="24"/>
        <v>0</v>
      </c>
      <c r="AA31">
        <v>80891032</v>
      </c>
      <c r="AB31">
        <f t="shared" si="25"/>
        <v>543.51</v>
      </c>
      <c r="AC31">
        <f>ROUND((ES31),6)</f>
        <v>543.51</v>
      </c>
      <c r="AD31">
        <f>ROUND((((ET31)-(EU31))+AE31),6)</f>
        <v>0</v>
      </c>
      <c r="AE31">
        <f>ROUND((EU31),6)</f>
        <v>0</v>
      </c>
      <c r="AF31">
        <f>ROUND((EV31),6)</f>
        <v>0</v>
      </c>
      <c r="AG31">
        <f t="shared" si="26"/>
        <v>0</v>
      </c>
      <c r="AH31">
        <f>(EW31)</f>
        <v>0</v>
      </c>
      <c r="AI31">
        <f>(EX31)</f>
        <v>0</v>
      </c>
      <c r="AJ31">
        <f t="shared" si="27"/>
        <v>0</v>
      </c>
      <c r="AK31">
        <v>543.51</v>
      </c>
      <c r="AL31">
        <v>543.51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70</v>
      </c>
      <c r="AU31">
        <v>10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3</v>
      </c>
      <c r="BI31">
        <v>4</v>
      </c>
      <c r="BJ31" t="s">
        <v>48</v>
      </c>
      <c r="BM31">
        <v>0</v>
      </c>
      <c r="BN31">
        <v>0</v>
      </c>
      <c r="BO31" t="s">
        <v>3</v>
      </c>
      <c r="BP31">
        <v>0</v>
      </c>
      <c r="BQ31">
        <v>1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70</v>
      </c>
      <c r="CA31">
        <v>10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28"/>
        <v>7065.63</v>
      </c>
      <c r="CQ31">
        <f t="shared" si="29"/>
        <v>543.51</v>
      </c>
      <c r="CR31">
        <f>((((ET31)*BB31-(EU31)*BS31)+AE31*BS31)*AV31)</f>
        <v>0</v>
      </c>
      <c r="CS31">
        <f t="shared" si="30"/>
        <v>0</v>
      </c>
      <c r="CT31">
        <f t="shared" si="31"/>
        <v>0</v>
      </c>
      <c r="CU31">
        <f t="shared" si="32"/>
        <v>0</v>
      </c>
      <c r="CV31">
        <f t="shared" si="33"/>
        <v>0</v>
      </c>
      <c r="CW31">
        <f t="shared" si="34"/>
        <v>0</v>
      </c>
      <c r="CX31">
        <f t="shared" si="35"/>
        <v>0</v>
      </c>
      <c r="CY31">
        <f t="shared" si="36"/>
        <v>0</v>
      </c>
      <c r="CZ31">
        <f t="shared" si="37"/>
        <v>0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1002</v>
      </c>
      <c r="DV31" t="s">
        <v>47</v>
      </c>
      <c r="DW31" t="s">
        <v>47</v>
      </c>
      <c r="DX31">
        <v>1</v>
      </c>
      <c r="DZ31" t="s">
        <v>3</v>
      </c>
      <c r="EA31" t="s">
        <v>3</v>
      </c>
      <c r="EB31" t="s">
        <v>3</v>
      </c>
      <c r="EC31" t="s">
        <v>3</v>
      </c>
      <c r="EE31">
        <v>80196140</v>
      </c>
      <c r="EF31">
        <v>1</v>
      </c>
      <c r="EG31" t="s">
        <v>19</v>
      </c>
      <c r="EH31">
        <v>0</v>
      </c>
      <c r="EI31" t="s">
        <v>3</v>
      </c>
      <c r="EJ31">
        <v>4</v>
      </c>
      <c r="EK31">
        <v>0</v>
      </c>
      <c r="EL31" t="s">
        <v>20</v>
      </c>
      <c r="EM31" t="s">
        <v>21</v>
      </c>
      <c r="EO31" t="s">
        <v>3</v>
      </c>
      <c r="EQ31">
        <v>0</v>
      </c>
      <c r="ER31">
        <v>543.51</v>
      </c>
      <c r="ES31">
        <v>543.51</v>
      </c>
      <c r="ET31">
        <v>0</v>
      </c>
      <c r="EU31">
        <v>0</v>
      </c>
      <c r="EV31">
        <v>0</v>
      </c>
      <c r="EW31">
        <v>0</v>
      </c>
      <c r="EX31">
        <v>0</v>
      </c>
      <c r="FQ31">
        <v>0</v>
      </c>
      <c r="FR31">
        <v>0</v>
      </c>
      <c r="FS31">
        <v>0</v>
      </c>
      <c r="FX31">
        <v>70</v>
      </c>
      <c r="FY31">
        <v>10</v>
      </c>
      <c r="GA31" t="s">
        <v>3</v>
      </c>
      <c r="GD31">
        <v>0</v>
      </c>
      <c r="GF31">
        <v>-2011220865</v>
      </c>
      <c r="GG31">
        <v>2</v>
      </c>
      <c r="GH31">
        <v>1</v>
      </c>
      <c r="GI31">
        <v>-2</v>
      </c>
      <c r="GJ31">
        <v>0</v>
      </c>
      <c r="GK31">
        <f>ROUND(R31*(R12)/100,2)</f>
        <v>0</v>
      </c>
      <c r="GL31">
        <f t="shared" si="38"/>
        <v>0</v>
      </c>
      <c r="GM31">
        <f t="shared" si="39"/>
        <v>7065.63</v>
      </c>
      <c r="GN31">
        <f t="shared" si="40"/>
        <v>0</v>
      </c>
      <c r="GO31">
        <f t="shared" si="41"/>
        <v>0</v>
      </c>
      <c r="GP31">
        <f t="shared" si="42"/>
        <v>7065.63</v>
      </c>
      <c r="GR31">
        <v>0</v>
      </c>
      <c r="GS31">
        <v>3</v>
      </c>
      <c r="GT31">
        <v>0</v>
      </c>
      <c r="GU31" t="s">
        <v>3</v>
      </c>
      <c r="GV31">
        <f t="shared" si="43"/>
        <v>0</v>
      </c>
      <c r="GW31">
        <v>1</v>
      </c>
      <c r="GX31">
        <f t="shared" si="44"/>
        <v>0</v>
      </c>
      <c r="HA31">
        <v>0</v>
      </c>
      <c r="HB31">
        <v>0</v>
      </c>
      <c r="HC31">
        <f t="shared" si="45"/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HS31">
        <v>0</v>
      </c>
      <c r="IK31">
        <v>0</v>
      </c>
    </row>
    <row r="32" spans="1:245" x14ac:dyDescent="0.25">
      <c r="A32">
        <v>17</v>
      </c>
      <c r="B32">
        <v>1</v>
      </c>
      <c r="C32">
        <f>ROW(SmtRes!A17)</f>
        <v>17</v>
      </c>
      <c r="D32">
        <f>ROW(EtalonRes!A18)</f>
        <v>18</v>
      </c>
      <c r="E32" t="s">
        <v>49</v>
      </c>
      <c r="F32" t="s">
        <v>50</v>
      </c>
      <c r="G32" t="s">
        <v>51</v>
      </c>
      <c r="H32" t="s">
        <v>52</v>
      </c>
      <c r="I32">
        <f>ROUND(7/10,9)</f>
        <v>0.7</v>
      </c>
      <c r="J32">
        <v>0</v>
      </c>
      <c r="K32">
        <f>ROUND(7/10,9)</f>
        <v>0.7</v>
      </c>
      <c r="O32">
        <f t="shared" si="14"/>
        <v>14426.41</v>
      </c>
      <c r="P32">
        <f t="shared" si="15"/>
        <v>0</v>
      </c>
      <c r="Q32">
        <f t="shared" si="16"/>
        <v>11474.55</v>
      </c>
      <c r="R32">
        <f t="shared" si="17"/>
        <v>4584.58</v>
      </c>
      <c r="S32">
        <f t="shared" si="18"/>
        <v>2951.86</v>
      </c>
      <c r="T32">
        <f t="shared" si="19"/>
        <v>0</v>
      </c>
      <c r="U32">
        <f t="shared" si="20"/>
        <v>5.8239999999999998</v>
      </c>
      <c r="V32">
        <f t="shared" si="21"/>
        <v>0</v>
      </c>
      <c r="W32">
        <f t="shared" si="22"/>
        <v>0</v>
      </c>
      <c r="X32">
        <f t="shared" si="23"/>
        <v>2066.3000000000002</v>
      </c>
      <c r="Y32">
        <f t="shared" si="24"/>
        <v>295.19</v>
      </c>
      <c r="AA32">
        <v>80891032</v>
      </c>
      <c r="AB32">
        <f t="shared" si="25"/>
        <v>20609.16</v>
      </c>
      <c r="AC32">
        <f>ROUND(((ES32*26)),6)</f>
        <v>0</v>
      </c>
      <c r="AD32">
        <f>ROUND(((((ET32*26))-((EU32*26)))+AE32),6)</f>
        <v>16392.22</v>
      </c>
      <c r="AE32">
        <f>ROUND(((EU32*26)),6)</f>
        <v>6549.4</v>
      </c>
      <c r="AF32">
        <f>ROUND(((EV32*26)),6)</f>
        <v>4216.9399999999996</v>
      </c>
      <c r="AG32">
        <f t="shared" si="26"/>
        <v>0</v>
      </c>
      <c r="AH32">
        <f>((EW32*26))</f>
        <v>8.32</v>
      </c>
      <c r="AI32">
        <f>((EX32*26))</f>
        <v>0</v>
      </c>
      <c r="AJ32">
        <f t="shared" si="27"/>
        <v>0</v>
      </c>
      <c r="AK32">
        <v>792.66</v>
      </c>
      <c r="AL32">
        <v>0</v>
      </c>
      <c r="AM32">
        <v>630.47</v>
      </c>
      <c r="AN32">
        <v>251.9</v>
      </c>
      <c r="AO32">
        <v>162.19</v>
      </c>
      <c r="AP32">
        <v>0</v>
      </c>
      <c r="AQ32">
        <v>0.32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53</v>
      </c>
      <c r="BM32">
        <v>0</v>
      </c>
      <c r="BN32">
        <v>0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28"/>
        <v>14426.41</v>
      </c>
      <c r="CQ32">
        <f t="shared" si="29"/>
        <v>0</v>
      </c>
      <c r="CR32">
        <f>(((((ET32*26))*BB32-((EU32*26))*BS32)+AE32*BS32)*AV32)</f>
        <v>16392.22</v>
      </c>
      <c r="CS32">
        <f t="shared" si="30"/>
        <v>6549.4</v>
      </c>
      <c r="CT32">
        <f t="shared" si="31"/>
        <v>4216.9399999999996</v>
      </c>
      <c r="CU32">
        <f t="shared" si="32"/>
        <v>0</v>
      </c>
      <c r="CV32">
        <f t="shared" si="33"/>
        <v>8.32</v>
      </c>
      <c r="CW32">
        <f t="shared" si="34"/>
        <v>0</v>
      </c>
      <c r="CX32">
        <f t="shared" si="35"/>
        <v>0</v>
      </c>
      <c r="CY32">
        <f t="shared" si="36"/>
        <v>2066.3020000000001</v>
      </c>
      <c r="CZ32">
        <f t="shared" si="37"/>
        <v>295.18600000000004</v>
      </c>
      <c r="DC32" t="s">
        <v>3</v>
      </c>
      <c r="DD32" t="s">
        <v>43</v>
      </c>
      <c r="DE32" t="s">
        <v>43</v>
      </c>
      <c r="DF32" t="s">
        <v>43</v>
      </c>
      <c r="DG32" t="s">
        <v>43</v>
      </c>
      <c r="DH32" t="s">
        <v>3</v>
      </c>
      <c r="DI32" t="s">
        <v>43</v>
      </c>
      <c r="DJ32" t="s">
        <v>43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1007</v>
      </c>
      <c r="DV32" t="s">
        <v>52</v>
      </c>
      <c r="DW32" t="s">
        <v>52</v>
      </c>
      <c r="DX32">
        <v>10</v>
      </c>
      <c r="DZ32" t="s">
        <v>3</v>
      </c>
      <c r="EA32" t="s">
        <v>3</v>
      </c>
      <c r="EB32" t="s">
        <v>3</v>
      </c>
      <c r="EC32" t="s">
        <v>3</v>
      </c>
      <c r="EE32">
        <v>80196140</v>
      </c>
      <c r="EF32">
        <v>1</v>
      </c>
      <c r="EG32" t="s">
        <v>19</v>
      </c>
      <c r="EH32">
        <v>0</v>
      </c>
      <c r="EI32" t="s">
        <v>3</v>
      </c>
      <c r="EJ32">
        <v>4</v>
      </c>
      <c r="EK32">
        <v>0</v>
      </c>
      <c r="EL32" t="s">
        <v>20</v>
      </c>
      <c r="EM32" t="s">
        <v>21</v>
      </c>
      <c r="EO32" t="s">
        <v>3</v>
      </c>
      <c r="EQ32">
        <v>0</v>
      </c>
      <c r="ER32">
        <v>792.66</v>
      </c>
      <c r="ES32">
        <v>0</v>
      </c>
      <c r="ET32">
        <v>630.47</v>
      </c>
      <c r="EU32">
        <v>251.9</v>
      </c>
      <c r="EV32">
        <v>162.19</v>
      </c>
      <c r="EW32">
        <v>0.32</v>
      </c>
      <c r="EX32">
        <v>0</v>
      </c>
      <c r="EY32">
        <v>0</v>
      </c>
      <c r="FQ32">
        <v>0</v>
      </c>
      <c r="FR32"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592032753</v>
      </c>
      <c r="GG32">
        <v>2</v>
      </c>
      <c r="GH32">
        <v>1</v>
      </c>
      <c r="GI32">
        <v>-2</v>
      </c>
      <c r="GJ32">
        <v>0</v>
      </c>
      <c r="GK32">
        <f>ROUND(R32*(R12)/100,2)</f>
        <v>4951.3500000000004</v>
      </c>
      <c r="GL32">
        <f t="shared" si="38"/>
        <v>0</v>
      </c>
      <c r="GM32">
        <f t="shared" si="39"/>
        <v>21739.25</v>
      </c>
      <c r="GN32">
        <f t="shared" si="40"/>
        <v>0</v>
      </c>
      <c r="GO32">
        <f t="shared" si="41"/>
        <v>0</v>
      </c>
      <c r="GP32">
        <f t="shared" si="42"/>
        <v>21739.25</v>
      </c>
      <c r="GR32">
        <v>0</v>
      </c>
      <c r="GS32">
        <v>3</v>
      </c>
      <c r="GT32">
        <v>0</v>
      </c>
      <c r="GU32" t="s">
        <v>3</v>
      </c>
      <c r="GV32">
        <f t="shared" si="43"/>
        <v>0</v>
      </c>
      <c r="GW32">
        <v>1</v>
      </c>
      <c r="GX32">
        <f t="shared" si="44"/>
        <v>0</v>
      </c>
      <c r="HA32">
        <v>0</v>
      </c>
      <c r="HB32">
        <v>0</v>
      </c>
      <c r="HC32">
        <f t="shared" si="45"/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HS32">
        <v>0</v>
      </c>
      <c r="IK32">
        <v>0</v>
      </c>
    </row>
    <row r="33" spans="1:245" x14ac:dyDescent="0.25">
      <c r="A33">
        <v>17</v>
      </c>
      <c r="B33">
        <v>1</v>
      </c>
      <c r="E33" t="s">
        <v>54</v>
      </c>
      <c r="F33" t="s">
        <v>55</v>
      </c>
      <c r="G33" t="s">
        <v>56</v>
      </c>
      <c r="H33" t="s">
        <v>41</v>
      </c>
      <c r="I33">
        <v>10767</v>
      </c>
      <c r="J33">
        <v>0</v>
      </c>
      <c r="K33">
        <v>10767</v>
      </c>
      <c r="O33">
        <f t="shared" si="14"/>
        <v>179485.89</v>
      </c>
      <c r="P33">
        <f t="shared" si="15"/>
        <v>179485.89</v>
      </c>
      <c r="Q33">
        <f t="shared" si="16"/>
        <v>0</v>
      </c>
      <c r="R33">
        <f t="shared" si="17"/>
        <v>0</v>
      </c>
      <c r="S33">
        <f t="shared" si="18"/>
        <v>0</v>
      </c>
      <c r="T33">
        <f t="shared" si="19"/>
        <v>0</v>
      </c>
      <c r="U33">
        <f t="shared" si="20"/>
        <v>0</v>
      </c>
      <c r="V33">
        <f t="shared" si="21"/>
        <v>0</v>
      </c>
      <c r="W33">
        <f t="shared" si="22"/>
        <v>0</v>
      </c>
      <c r="X33">
        <f t="shared" si="23"/>
        <v>0</v>
      </c>
      <c r="Y33">
        <f t="shared" si="24"/>
        <v>0</v>
      </c>
      <c r="AA33">
        <v>80891032</v>
      </c>
      <c r="AB33">
        <f t="shared" si="25"/>
        <v>16.670000000000002</v>
      </c>
      <c r="AC33">
        <f>ROUND((ES33),6)</f>
        <v>16.670000000000002</v>
      </c>
      <c r="AD33">
        <f>ROUND((((ET33)-(EU33))+AE33),6)</f>
        <v>0</v>
      </c>
      <c r="AE33">
        <f>ROUND((EU33),6)</f>
        <v>0</v>
      </c>
      <c r="AF33">
        <f>ROUND((EV33),6)</f>
        <v>0</v>
      </c>
      <c r="AG33">
        <f t="shared" si="26"/>
        <v>0</v>
      </c>
      <c r="AH33">
        <f>(EW33)</f>
        <v>0</v>
      </c>
      <c r="AI33">
        <f>(EX33)</f>
        <v>0</v>
      </c>
      <c r="AJ33">
        <f t="shared" si="27"/>
        <v>0</v>
      </c>
      <c r="AK33">
        <v>16.670000000000002</v>
      </c>
      <c r="AL33">
        <v>16.670000000000002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3</v>
      </c>
      <c r="BI33">
        <v>1</v>
      </c>
      <c r="BJ33" t="s">
        <v>3</v>
      </c>
      <c r="BM33">
        <v>6001</v>
      </c>
      <c r="BN33">
        <v>0</v>
      </c>
      <c r="BO33" t="s">
        <v>3</v>
      </c>
      <c r="BP33">
        <v>0</v>
      </c>
      <c r="BQ33">
        <v>0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0</v>
      </c>
      <c r="CA33">
        <v>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28"/>
        <v>179485.89</v>
      </c>
      <c r="CQ33">
        <f t="shared" si="29"/>
        <v>16.670000000000002</v>
      </c>
      <c r="CR33">
        <f>((((ET33)*BB33-(EU33)*BS33)+AE33*BS33)*AV33)</f>
        <v>0</v>
      </c>
      <c r="CS33">
        <f t="shared" si="30"/>
        <v>0</v>
      </c>
      <c r="CT33">
        <f t="shared" si="31"/>
        <v>0</v>
      </c>
      <c r="CU33">
        <f t="shared" si="32"/>
        <v>0</v>
      </c>
      <c r="CV33">
        <f t="shared" si="33"/>
        <v>0</v>
      </c>
      <c r="CW33">
        <f t="shared" si="34"/>
        <v>0</v>
      </c>
      <c r="CX33">
        <f t="shared" si="35"/>
        <v>0</v>
      </c>
      <c r="CY33">
        <f t="shared" si="36"/>
        <v>0</v>
      </c>
      <c r="CZ33">
        <f t="shared" si="37"/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1010</v>
      </c>
      <c r="DV33" t="s">
        <v>41</v>
      </c>
      <c r="DW33" t="s">
        <v>41</v>
      </c>
      <c r="DX33">
        <v>1</v>
      </c>
      <c r="DZ33" t="s">
        <v>3</v>
      </c>
      <c r="EA33" t="s">
        <v>3</v>
      </c>
      <c r="EB33" t="s">
        <v>3</v>
      </c>
      <c r="EC33" t="s">
        <v>3</v>
      </c>
      <c r="EE33">
        <v>80847375</v>
      </c>
      <c r="EF33">
        <v>0</v>
      </c>
      <c r="EG33" t="s">
        <v>57</v>
      </c>
      <c r="EH33">
        <v>0</v>
      </c>
      <c r="EI33" t="s">
        <v>3</v>
      </c>
      <c r="EJ33">
        <v>1</v>
      </c>
      <c r="EK33">
        <v>6001</v>
      </c>
      <c r="EL33" t="s">
        <v>58</v>
      </c>
      <c r="EM33" t="s">
        <v>57</v>
      </c>
      <c r="EO33" t="s">
        <v>3</v>
      </c>
      <c r="EQ33">
        <v>0</v>
      </c>
      <c r="ER33">
        <v>16.670000000000002</v>
      </c>
      <c r="ES33">
        <v>16.670000000000002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5</v>
      </c>
      <c r="FC33">
        <v>1</v>
      </c>
      <c r="FD33">
        <v>18</v>
      </c>
      <c r="FF33">
        <v>20</v>
      </c>
      <c r="FQ33">
        <v>0</v>
      </c>
      <c r="FR33">
        <v>0</v>
      </c>
      <c r="FS33">
        <v>0</v>
      </c>
      <c r="FX33">
        <v>0</v>
      </c>
      <c r="FY33">
        <v>0</v>
      </c>
      <c r="GA33" t="s">
        <v>59</v>
      </c>
      <c r="GD33">
        <v>0</v>
      </c>
      <c r="GF33">
        <v>-656021633</v>
      </c>
      <c r="GG33">
        <v>2</v>
      </c>
      <c r="GH33">
        <v>3</v>
      </c>
      <c r="GI33">
        <v>0</v>
      </c>
      <c r="GJ33">
        <v>0</v>
      </c>
      <c r="GK33">
        <f>ROUND(R33*(R12)/100,2)</f>
        <v>0</v>
      </c>
      <c r="GL33">
        <f t="shared" si="38"/>
        <v>0</v>
      </c>
      <c r="GM33">
        <f t="shared" si="39"/>
        <v>179485.89</v>
      </c>
      <c r="GN33">
        <f t="shared" si="40"/>
        <v>179485.89</v>
      </c>
      <c r="GO33">
        <f t="shared" si="41"/>
        <v>0</v>
      </c>
      <c r="GP33">
        <f t="shared" si="42"/>
        <v>0</v>
      </c>
      <c r="GR33">
        <v>1</v>
      </c>
      <c r="GS33">
        <v>1</v>
      </c>
      <c r="GT33">
        <v>0</v>
      </c>
      <c r="GU33" t="s">
        <v>3</v>
      </c>
      <c r="GV33">
        <f t="shared" si="43"/>
        <v>0</v>
      </c>
      <c r="GW33">
        <v>1</v>
      </c>
      <c r="GX33">
        <f t="shared" si="44"/>
        <v>0</v>
      </c>
      <c r="HA33">
        <v>0</v>
      </c>
      <c r="HB33">
        <v>0</v>
      </c>
      <c r="HC33">
        <f t="shared" si="45"/>
        <v>0</v>
      </c>
      <c r="HE33" t="s">
        <v>60</v>
      </c>
      <c r="HF33" t="s">
        <v>60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HS33">
        <v>0</v>
      </c>
      <c r="IK33">
        <v>0</v>
      </c>
    </row>
    <row r="35" spans="1:245" ht="13" x14ac:dyDescent="0.3">
      <c r="A35" s="2">
        <v>51</v>
      </c>
      <c r="B35" s="2">
        <f>B20</f>
        <v>1</v>
      </c>
      <c r="C35" s="2">
        <f>A20</f>
        <v>3</v>
      </c>
      <c r="D35" s="2">
        <f>ROW(A20)</f>
        <v>20</v>
      </c>
      <c r="E35" s="2"/>
      <c r="F35" s="2" t="str">
        <f>IF(F20&lt;&gt;"",F20,"")</f>
        <v>Новая локальная смета</v>
      </c>
      <c r="G35" s="2" t="str">
        <f>IF(G20&lt;&gt;"",G20,"")</f>
        <v>Новая локальная смета</v>
      </c>
      <c r="H35" s="2">
        <v>0</v>
      </c>
      <c r="I35" s="2"/>
      <c r="J35" s="2"/>
      <c r="K35" s="2"/>
      <c r="L35" s="2"/>
      <c r="M35" s="2"/>
      <c r="N35" s="2"/>
      <c r="O35" s="2">
        <f t="shared" ref="O35:T35" si="46">ROUND(AB35,2)</f>
        <v>9397699.6999999993</v>
      </c>
      <c r="P35" s="2">
        <f t="shared" si="46"/>
        <v>319436.69</v>
      </c>
      <c r="Q35" s="2">
        <f t="shared" si="46"/>
        <v>6541954.3499999996</v>
      </c>
      <c r="R35" s="2">
        <f t="shared" si="46"/>
        <v>2858439.22</v>
      </c>
      <c r="S35" s="2">
        <f t="shared" si="46"/>
        <v>2536308.66</v>
      </c>
      <c r="T35" s="2">
        <f t="shared" si="46"/>
        <v>0</v>
      </c>
      <c r="U35" s="2">
        <f>AH35</f>
        <v>6609.8239999999987</v>
      </c>
      <c r="V35" s="2">
        <f>AI35</f>
        <v>0</v>
      </c>
      <c r="W35" s="2">
        <f>ROUND(AJ35,2)</f>
        <v>0</v>
      </c>
      <c r="X35" s="2">
        <f>ROUND(AK35,2)</f>
        <v>1775416.06</v>
      </c>
      <c r="Y35" s="2">
        <f>ROUND(AL35,2)</f>
        <v>253630.87</v>
      </c>
      <c r="Z35" s="2"/>
      <c r="AA35" s="2"/>
      <c r="AB35" s="2">
        <f>ROUND(SUMIF(AA24:AA33,"=80891032",O24:O33),2)</f>
        <v>9397699.6999999993</v>
      </c>
      <c r="AC35" s="2">
        <f>ROUND(SUMIF(AA24:AA33,"=80891032",P24:P33),2)</f>
        <v>319436.69</v>
      </c>
      <c r="AD35" s="2">
        <f>ROUND(SUMIF(AA24:AA33,"=80891032",Q24:Q33),2)</f>
        <v>6541954.3499999996</v>
      </c>
      <c r="AE35" s="2">
        <f>ROUND(SUMIF(AA24:AA33,"=80891032",R24:R33),2)</f>
        <v>2858439.22</v>
      </c>
      <c r="AF35" s="2">
        <f>ROUND(SUMIF(AA24:AA33,"=80891032",S24:S33),2)</f>
        <v>2536308.66</v>
      </c>
      <c r="AG35" s="2">
        <f>ROUND(SUMIF(AA24:AA33,"=80891032",T24:T33),2)</f>
        <v>0</v>
      </c>
      <c r="AH35" s="2">
        <f>SUMIF(AA24:AA33,"=80891032",U24:U33)</f>
        <v>6609.8239999999987</v>
      </c>
      <c r="AI35" s="2">
        <f>SUMIF(AA24:AA33,"=80891032",V24:V33)</f>
        <v>0</v>
      </c>
      <c r="AJ35" s="2">
        <f>ROUND(SUMIF(AA24:AA33,"=80891032",W24:W33),2)</f>
        <v>0</v>
      </c>
      <c r="AK35" s="2">
        <f>ROUND(SUMIF(AA24:AA33,"=80891032",X24:X33),2)</f>
        <v>1775416.06</v>
      </c>
      <c r="AL35" s="2">
        <f>ROUND(SUMIF(AA24:AA33,"=80891032",Y24:Y33),2)</f>
        <v>253630.87</v>
      </c>
      <c r="AM35" s="2"/>
      <c r="AN35" s="2"/>
      <c r="AO35" s="2">
        <f t="shared" ref="AO35:BD35" si="47">ROUND(BX35,2)</f>
        <v>0</v>
      </c>
      <c r="AP35" s="2">
        <f t="shared" si="47"/>
        <v>0</v>
      </c>
      <c r="AQ35" s="2">
        <f t="shared" si="47"/>
        <v>0</v>
      </c>
      <c r="AR35" s="2">
        <f t="shared" si="47"/>
        <v>14513860.99</v>
      </c>
      <c r="AS35" s="2">
        <f t="shared" si="47"/>
        <v>179485.89</v>
      </c>
      <c r="AT35" s="2">
        <f t="shared" si="47"/>
        <v>0</v>
      </c>
      <c r="AU35" s="2">
        <f t="shared" si="47"/>
        <v>14334375.1</v>
      </c>
      <c r="AV35" s="2">
        <f t="shared" si="47"/>
        <v>319436.69</v>
      </c>
      <c r="AW35" s="2">
        <f t="shared" si="47"/>
        <v>319436.69</v>
      </c>
      <c r="AX35" s="2">
        <f t="shared" si="47"/>
        <v>0</v>
      </c>
      <c r="AY35" s="2">
        <f t="shared" si="47"/>
        <v>319436.69</v>
      </c>
      <c r="AZ35" s="2">
        <f t="shared" si="47"/>
        <v>0</v>
      </c>
      <c r="BA35" s="2">
        <f t="shared" si="47"/>
        <v>0</v>
      </c>
      <c r="BB35" s="2">
        <f t="shared" si="47"/>
        <v>0</v>
      </c>
      <c r="BC35" s="2">
        <f t="shared" si="47"/>
        <v>0</v>
      </c>
      <c r="BD35" s="2">
        <f t="shared" si="47"/>
        <v>0</v>
      </c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>
        <f>ROUND(SUMIF(AA24:AA33,"=80891032",FQ24:FQ33),2)</f>
        <v>0</v>
      </c>
      <c r="BY35" s="2">
        <f>ROUND(SUMIF(AA24:AA33,"=80891032",FR24:FR33),2)</f>
        <v>0</v>
      </c>
      <c r="BZ35" s="2">
        <f>ROUND(SUMIF(AA24:AA33,"=80891032",GL24:GL33),2)</f>
        <v>0</v>
      </c>
      <c r="CA35" s="2">
        <f>ROUND(SUMIF(AA24:AA33,"=80891032",GM24:GM33),2)</f>
        <v>14513860.99</v>
      </c>
      <c r="CB35" s="2">
        <f>ROUND(SUMIF(AA24:AA33,"=80891032",GN24:GN33),2)</f>
        <v>179485.89</v>
      </c>
      <c r="CC35" s="2">
        <f>ROUND(SUMIF(AA24:AA33,"=80891032",GO24:GO33),2)</f>
        <v>0</v>
      </c>
      <c r="CD35" s="2">
        <f>ROUND(SUMIF(AA24:AA33,"=80891032",GP24:GP33),2)</f>
        <v>14334375.1</v>
      </c>
      <c r="CE35" s="2">
        <f>AC35-BX35</f>
        <v>319436.69</v>
      </c>
      <c r="CF35" s="2">
        <f>AC35-BY35</f>
        <v>319436.69</v>
      </c>
      <c r="CG35" s="2">
        <f>BX35-BZ35</f>
        <v>0</v>
      </c>
      <c r="CH35" s="2">
        <f>AC35-BX35-BY35+BZ35</f>
        <v>319436.69</v>
      </c>
      <c r="CI35" s="2">
        <f>BY35-BZ35</f>
        <v>0</v>
      </c>
      <c r="CJ35" s="2">
        <f>ROUND(SUMIF(AA24:AA33,"=80891032",GX24:GX33),2)</f>
        <v>0</v>
      </c>
      <c r="CK35" s="2">
        <f>ROUND(SUMIF(AA24:AA33,"=80891032",GY24:GY33),2)</f>
        <v>0</v>
      </c>
      <c r="CL35" s="2">
        <f>ROUND(SUMIF(AA24:AA33,"=80891032",GZ24:GZ33),2)</f>
        <v>0</v>
      </c>
      <c r="CM35" s="2">
        <f>ROUND(SUMIF(AA24:AA33,"=80891032",HD24:HD33),2)</f>
        <v>0</v>
      </c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>
        <v>0</v>
      </c>
    </row>
    <row r="37" spans="1:245" ht="13" x14ac:dyDescent="0.3">
      <c r="A37" s="4">
        <v>50</v>
      </c>
      <c r="B37" s="4">
        <v>0</v>
      </c>
      <c r="C37" s="4">
        <v>0</v>
      </c>
      <c r="D37" s="4">
        <v>1</v>
      </c>
      <c r="E37" s="4">
        <v>201</v>
      </c>
      <c r="F37" s="4">
        <f>ROUND(Source!O35,O37)</f>
        <v>9397699.6999999993</v>
      </c>
      <c r="G37" s="4" t="s">
        <v>61</v>
      </c>
      <c r="H37" s="4" t="s">
        <v>62</v>
      </c>
      <c r="I37" s="4"/>
      <c r="J37" s="4"/>
      <c r="K37" s="4">
        <v>201</v>
      </c>
      <c r="L37" s="4">
        <v>1</v>
      </c>
      <c r="M37" s="4">
        <v>3</v>
      </c>
      <c r="N37" s="4" t="s">
        <v>3</v>
      </c>
      <c r="O37" s="4">
        <v>2</v>
      </c>
      <c r="P37" s="4"/>
      <c r="Q37" s="4"/>
      <c r="R37" s="4"/>
      <c r="S37" s="4"/>
      <c r="T37" s="4"/>
      <c r="U37" s="4"/>
      <c r="V37" s="4"/>
      <c r="W37" s="4">
        <v>9397699.6999999993</v>
      </c>
      <c r="X37" s="4">
        <v>1</v>
      </c>
      <c r="Y37" s="4">
        <v>9397699.6999999993</v>
      </c>
      <c r="Z37" s="4"/>
      <c r="AA37" s="4"/>
      <c r="AB37" s="4"/>
    </row>
    <row r="38" spans="1:245" ht="13" x14ac:dyDescent="0.3">
      <c r="A38" s="4">
        <v>50</v>
      </c>
      <c r="B38" s="4">
        <v>0</v>
      </c>
      <c r="C38" s="4">
        <v>0</v>
      </c>
      <c r="D38" s="4">
        <v>1</v>
      </c>
      <c r="E38" s="4">
        <v>202</v>
      </c>
      <c r="F38" s="4">
        <f>ROUND(Source!P35,O38)</f>
        <v>319436.69</v>
      </c>
      <c r="G38" s="4" t="s">
        <v>63</v>
      </c>
      <c r="H38" s="4" t="s">
        <v>64</v>
      </c>
      <c r="I38" s="4"/>
      <c r="J38" s="4"/>
      <c r="K38" s="4">
        <v>202</v>
      </c>
      <c r="L38" s="4">
        <v>2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>
        <v>319436.69</v>
      </c>
      <c r="X38" s="4">
        <v>1</v>
      </c>
      <c r="Y38" s="4">
        <v>319436.69</v>
      </c>
      <c r="Z38" s="4"/>
      <c r="AA38" s="4"/>
      <c r="AB38" s="4"/>
    </row>
    <row r="39" spans="1:245" ht="13" x14ac:dyDescent="0.3">
      <c r="A39" s="4">
        <v>50</v>
      </c>
      <c r="B39" s="4">
        <v>0</v>
      </c>
      <c r="C39" s="4">
        <v>0</v>
      </c>
      <c r="D39" s="4">
        <v>1</v>
      </c>
      <c r="E39" s="4">
        <v>222</v>
      </c>
      <c r="F39" s="4">
        <f>ROUND(Source!AO35,O39)</f>
        <v>0</v>
      </c>
      <c r="G39" s="4" t="s">
        <v>65</v>
      </c>
      <c r="H39" s="4" t="s">
        <v>66</v>
      </c>
      <c r="I39" s="4"/>
      <c r="J39" s="4"/>
      <c r="K39" s="4">
        <v>222</v>
      </c>
      <c r="L39" s="4">
        <v>3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45" ht="13" x14ac:dyDescent="0.3">
      <c r="A40" s="4">
        <v>50</v>
      </c>
      <c r="B40" s="4">
        <v>0</v>
      </c>
      <c r="C40" s="4">
        <v>0</v>
      </c>
      <c r="D40" s="4">
        <v>1</v>
      </c>
      <c r="E40" s="4">
        <v>225</v>
      </c>
      <c r="F40" s="4">
        <f>ROUND(Source!AV35,O40)</f>
        <v>319436.69</v>
      </c>
      <c r="G40" s="4" t="s">
        <v>67</v>
      </c>
      <c r="H40" s="4" t="s">
        <v>68</v>
      </c>
      <c r="I40" s="4"/>
      <c r="J40" s="4"/>
      <c r="K40" s="4">
        <v>225</v>
      </c>
      <c r="L40" s="4">
        <v>4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319436.69</v>
      </c>
      <c r="X40" s="4">
        <v>1</v>
      </c>
      <c r="Y40" s="4">
        <v>319436.69</v>
      </c>
      <c r="Z40" s="4"/>
      <c r="AA40" s="4"/>
      <c r="AB40" s="4"/>
    </row>
    <row r="41" spans="1:245" ht="13" x14ac:dyDescent="0.3">
      <c r="A41" s="4">
        <v>50</v>
      </c>
      <c r="B41" s="4">
        <v>0</v>
      </c>
      <c r="C41" s="4">
        <v>0</v>
      </c>
      <c r="D41" s="4">
        <v>1</v>
      </c>
      <c r="E41" s="4">
        <v>226</v>
      </c>
      <c r="F41" s="4">
        <f>ROUND(Source!AW35,O41)</f>
        <v>319436.69</v>
      </c>
      <c r="G41" s="4" t="s">
        <v>69</v>
      </c>
      <c r="H41" s="4" t="s">
        <v>70</v>
      </c>
      <c r="I41" s="4"/>
      <c r="J41" s="4"/>
      <c r="K41" s="4">
        <v>226</v>
      </c>
      <c r="L41" s="4">
        <v>5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319436.69</v>
      </c>
      <c r="X41" s="4">
        <v>1</v>
      </c>
      <c r="Y41" s="4">
        <v>319436.69</v>
      </c>
      <c r="Z41" s="4"/>
      <c r="AA41" s="4"/>
      <c r="AB41" s="4"/>
    </row>
    <row r="42" spans="1:245" ht="13" x14ac:dyDescent="0.3">
      <c r="A42" s="4">
        <v>50</v>
      </c>
      <c r="B42" s="4">
        <v>0</v>
      </c>
      <c r="C42" s="4">
        <v>0</v>
      </c>
      <c r="D42" s="4">
        <v>1</v>
      </c>
      <c r="E42" s="4">
        <v>227</v>
      </c>
      <c r="F42" s="4">
        <f>ROUND(Source!AX35,O42)</f>
        <v>0</v>
      </c>
      <c r="G42" s="4" t="s">
        <v>71</v>
      </c>
      <c r="H42" s="4" t="s">
        <v>72</v>
      </c>
      <c r="I42" s="4"/>
      <c r="J42" s="4"/>
      <c r="K42" s="4">
        <v>227</v>
      </c>
      <c r="L42" s="4">
        <v>6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45" ht="13" x14ac:dyDescent="0.3">
      <c r="A43" s="4">
        <v>50</v>
      </c>
      <c r="B43" s="4">
        <v>0</v>
      </c>
      <c r="C43" s="4">
        <v>0</v>
      </c>
      <c r="D43" s="4">
        <v>1</v>
      </c>
      <c r="E43" s="4">
        <v>228</v>
      </c>
      <c r="F43" s="4">
        <f>ROUND(Source!AY35,O43)</f>
        <v>319436.69</v>
      </c>
      <c r="G43" s="4" t="s">
        <v>73</v>
      </c>
      <c r="H43" s="4" t="s">
        <v>74</v>
      </c>
      <c r="I43" s="4"/>
      <c r="J43" s="4"/>
      <c r="K43" s="4">
        <v>228</v>
      </c>
      <c r="L43" s="4">
        <v>7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319436.69</v>
      </c>
      <c r="X43" s="4">
        <v>1</v>
      </c>
      <c r="Y43" s="4">
        <v>319436.69</v>
      </c>
      <c r="Z43" s="4"/>
      <c r="AA43" s="4"/>
      <c r="AB43" s="4"/>
    </row>
    <row r="44" spans="1:245" ht="13" x14ac:dyDescent="0.3">
      <c r="A44" s="4">
        <v>50</v>
      </c>
      <c r="B44" s="4">
        <v>0</v>
      </c>
      <c r="C44" s="4">
        <v>0</v>
      </c>
      <c r="D44" s="4">
        <v>1</v>
      </c>
      <c r="E44" s="4">
        <v>216</v>
      </c>
      <c r="F44" s="4">
        <f>ROUND(Source!AP35,O44)</f>
        <v>0</v>
      </c>
      <c r="G44" s="4" t="s">
        <v>75</v>
      </c>
      <c r="H44" s="4" t="s">
        <v>76</v>
      </c>
      <c r="I44" s="4"/>
      <c r="J44" s="4"/>
      <c r="K44" s="4">
        <v>216</v>
      </c>
      <c r="L44" s="4">
        <v>8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45" ht="13" x14ac:dyDescent="0.3">
      <c r="A45" s="4">
        <v>50</v>
      </c>
      <c r="B45" s="4">
        <v>0</v>
      </c>
      <c r="C45" s="4">
        <v>0</v>
      </c>
      <c r="D45" s="4">
        <v>1</v>
      </c>
      <c r="E45" s="4">
        <v>223</v>
      </c>
      <c r="F45" s="4">
        <f>ROUND(Source!AQ35,O45)</f>
        <v>0</v>
      </c>
      <c r="G45" s="4" t="s">
        <v>77</v>
      </c>
      <c r="H45" s="4" t="s">
        <v>78</v>
      </c>
      <c r="I45" s="4"/>
      <c r="J45" s="4"/>
      <c r="K45" s="4">
        <v>223</v>
      </c>
      <c r="L45" s="4">
        <v>9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45" ht="13" x14ac:dyDescent="0.3">
      <c r="A46" s="4">
        <v>50</v>
      </c>
      <c r="B46" s="4">
        <v>0</v>
      </c>
      <c r="C46" s="4">
        <v>0</v>
      </c>
      <c r="D46" s="4">
        <v>1</v>
      </c>
      <c r="E46" s="4">
        <v>229</v>
      </c>
      <c r="F46" s="4">
        <f>ROUND(Source!AZ35,O46)</f>
        <v>0</v>
      </c>
      <c r="G46" s="4" t="s">
        <v>79</v>
      </c>
      <c r="H46" s="4" t="s">
        <v>80</v>
      </c>
      <c r="I46" s="4"/>
      <c r="J46" s="4"/>
      <c r="K46" s="4">
        <v>229</v>
      </c>
      <c r="L46" s="4">
        <v>10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45" ht="13" x14ac:dyDescent="0.3">
      <c r="A47" s="4">
        <v>50</v>
      </c>
      <c r="B47" s="4">
        <v>0</v>
      </c>
      <c r="C47" s="4">
        <v>0</v>
      </c>
      <c r="D47" s="4">
        <v>1</v>
      </c>
      <c r="E47" s="4">
        <v>203</v>
      </c>
      <c r="F47" s="4">
        <f>ROUND(Source!Q35,O47)</f>
        <v>6541954.3499999996</v>
      </c>
      <c r="G47" s="4" t="s">
        <v>81</v>
      </c>
      <c r="H47" s="4" t="s">
        <v>82</v>
      </c>
      <c r="I47" s="4"/>
      <c r="J47" s="4"/>
      <c r="K47" s="4">
        <v>203</v>
      </c>
      <c r="L47" s="4">
        <v>11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6541954.3499999996</v>
      </c>
      <c r="X47" s="4">
        <v>1</v>
      </c>
      <c r="Y47" s="4">
        <v>6541954.3499999996</v>
      </c>
      <c r="Z47" s="4"/>
      <c r="AA47" s="4"/>
      <c r="AB47" s="4"/>
    </row>
    <row r="48" spans="1:245" ht="13" x14ac:dyDescent="0.3">
      <c r="A48" s="4">
        <v>50</v>
      </c>
      <c r="B48" s="4">
        <v>0</v>
      </c>
      <c r="C48" s="4">
        <v>0</v>
      </c>
      <c r="D48" s="4">
        <v>1</v>
      </c>
      <c r="E48" s="4">
        <v>231</v>
      </c>
      <c r="F48" s="4">
        <f>ROUND(Source!BB35,O48)</f>
        <v>0</v>
      </c>
      <c r="G48" s="4" t="s">
        <v>83</v>
      </c>
      <c r="H48" s="4" t="s">
        <v>84</v>
      </c>
      <c r="I48" s="4"/>
      <c r="J48" s="4"/>
      <c r="K48" s="4">
        <v>231</v>
      </c>
      <c r="L48" s="4">
        <v>12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8" ht="13" x14ac:dyDescent="0.3">
      <c r="A49" s="4">
        <v>50</v>
      </c>
      <c r="B49" s="4">
        <v>0</v>
      </c>
      <c r="C49" s="4">
        <v>0</v>
      </c>
      <c r="D49" s="4">
        <v>1</v>
      </c>
      <c r="E49" s="4">
        <v>204</v>
      </c>
      <c r="F49" s="4">
        <f>ROUND(Source!R35,O49)</f>
        <v>2858439.22</v>
      </c>
      <c r="G49" s="4" t="s">
        <v>85</v>
      </c>
      <c r="H49" s="4" t="s">
        <v>86</v>
      </c>
      <c r="I49" s="4"/>
      <c r="J49" s="4"/>
      <c r="K49" s="4">
        <v>204</v>
      </c>
      <c r="L49" s="4">
        <v>13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2858439.22</v>
      </c>
      <c r="X49" s="4">
        <v>1</v>
      </c>
      <c r="Y49" s="4">
        <v>2858439.22</v>
      </c>
      <c r="Z49" s="4"/>
      <c r="AA49" s="4"/>
      <c r="AB49" s="4"/>
    </row>
    <row r="50" spans="1:28" ht="13" x14ac:dyDescent="0.3">
      <c r="A50" s="4">
        <v>50</v>
      </c>
      <c r="B50" s="4">
        <v>0</v>
      </c>
      <c r="C50" s="4">
        <v>0</v>
      </c>
      <c r="D50" s="4">
        <v>1</v>
      </c>
      <c r="E50" s="4">
        <v>205</v>
      </c>
      <c r="F50" s="4">
        <f>ROUND(Source!S35,O50)</f>
        <v>2536308.66</v>
      </c>
      <c r="G50" s="4" t="s">
        <v>87</v>
      </c>
      <c r="H50" s="4" t="s">
        <v>88</v>
      </c>
      <c r="I50" s="4"/>
      <c r="J50" s="4"/>
      <c r="K50" s="4">
        <v>205</v>
      </c>
      <c r="L50" s="4">
        <v>14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2536308.66</v>
      </c>
      <c r="X50" s="4">
        <v>1</v>
      </c>
      <c r="Y50" s="4">
        <v>2536308.66</v>
      </c>
      <c r="Z50" s="4"/>
      <c r="AA50" s="4"/>
      <c r="AB50" s="4"/>
    </row>
    <row r="51" spans="1:28" ht="13" x14ac:dyDescent="0.3">
      <c r="A51" s="4">
        <v>50</v>
      </c>
      <c r="B51" s="4">
        <v>0</v>
      </c>
      <c r="C51" s="4">
        <v>0</v>
      </c>
      <c r="D51" s="4">
        <v>1</v>
      </c>
      <c r="E51" s="4">
        <v>232</v>
      </c>
      <c r="F51" s="4">
        <f>ROUND(Source!BC35,O51)</f>
        <v>0</v>
      </c>
      <c r="G51" s="4" t="s">
        <v>89</v>
      </c>
      <c r="H51" s="4" t="s">
        <v>90</v>
      </c>
      <c r="I51" s="4"/>
      <c r="J51" s="4"/>
      <c r="K51" s="4">
        <v>232</v>
      </c>
      <c r="L51" s="4">
        <v>15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8" ht="13" x14ac:dyDescent="0.3">
      <c r="A52" s="4">
        <v>50</v>
      </c>
      <c r="B52" s="4">
        <v>0</v>
      </c>
      <c r="C52" s="4">
        <v>0</v>
      </c>
      <c r="D52" s="4">
        <v>1</v>
      </c>
      <c r="E52" s="4">
        <v>214</v>
      </c>
      <c r="F52" s="4">
        <f>ROUND(Source!AS35,O52)</f>
        <v>179485.89</v>
      </c>
      <c r="G52" s="4" t="s">
        <v>91</v>
      </c>
      <c r="H52" s="4" t="s">
        <v>92</v>
      </c>
      <c r="I52" s="4"/>
      <c r="J52" s="4"/>
      <c r="K52" s="4">
        <v>214</v>
      </c>
      <c r="L52" s="4">
        <v>16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179485.89</v>
      </c>
      <c r="X52" s="4">
        <v>1</v>
      </c>
      <c r="Y52" s="4">
        <v>179485.89</v>
      </c>
      <c r="Z52" s="4"/>
      <c r="AA52" s="4"/>
      <c r="AB52" s="4"/>
    </row>
    <row r="53" spans="1:28" ht="13" x14ac:dyDescent="0.3">
      <c r="A53" s="4">
        <v>50</v>
      </c>
      <c r="B53" s="4">
        <v>0</v>
      </c>
      <c r="C53" s="4">
        <v>0</v>
      </c>
      <c r="D53" s="4">
        <v>1</v>
      </c>
      <c r="E53" s="4">
        <v>215</v>
      </c>
      <c r="F53" s="4">
        <f>ROUND(Source!AT35,O53)</f>
        <v>0</v>
      </c>
      <c r="G53" s="4" t="s">
        <v>93</v>
      </c>
      <c r="H53" s="4" t="s">
        <v>94</v>
      </c>
      <c r="I53" s="4"/>
      <c r="J53" s="4"/>
      <c r="K53" s="4">
        <v>215</v>
      </c>
      <c r="L53" s="4">
        <v>17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ht="13" x14ac:dyDescent="0.3">
      <c r="A54" s="4">
        <v>50</v>
      </c>
      <c r="B54" s="4">
        <v>0</v>
      </c>
      <c r="C54" s="4">
        <v>0</v>
      </c>
      <c r="D54" s="4">
        <v>1</v>
      </c>
      <c r="E54" s="4">
        <v>217</v>
      </c>
      <c r="F54" s="4">
        <f>ROUND(Source!AU35,O54)</f>
        <v>14334375.1</v>
      </c>
      <c r="G54" s="4" t="s">
        <v>95</v>
      </c>
      <c r="H54" s="4" t="s">
        <v>96</v>
      </c>
      <c r="I54" s="4"/>
      <c r="J54" s="4"/>
      <c r="K54" s="4">
        <v>217</v>
      </c>
      <c r="L54" s="4">
        <v>18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14334375.1</v>
      </c>
      <c r="X54" s="4">
        <v>1</v>
      </c>
      <c r="Y54" s="4">
        <v>14334375.1</v>
      </c>
      <c r="Z54" s="4"/>
      <c r="AA54" s="4"/>
      <c r="AB54" s="4"/>
    </row>
    <row r="55" spans="1:28" ht="13" x14ac:dyDescent="0.3">
      <c r="A55" s="4">
        <v>50</v>
      </c>
      <c r="B55" s="4">
        <v>0</v>
      </c>
      <c r="C55" s="4">
        <v>0</v>
      </c>
      <c r="D55" s="4">
        <v>1</v>
      </c>
      <c r="E55" s="4">
        <v>230</v>
      </c>
      <c r="F55" s="4">
        <f>ROUND(Source!BA35,O55)</f>
        <v>0</v>
      </c>
      <c r="G55" s="4" t="s">
        <v>97</v>
      </c>
      <c r="H55" s="4" t="s">
        <v>98</v>
      </c>
      <c r="I55" s="4"/>
      <c r="J55" s="4"/>
      <c r="K55" s="4">
        <v>230</v>
      </c>
      <c r="L55" s="4">
        <v>19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ht="13" x14ac:dyDescent="0.3">
      <c r="A56" s="4">
        <v>50</v>
      </c>
      <c r="B56" s="4">
        <v>0</v>
      </c>
      <c r="C56" s="4">
        <v>0</v>
      </c>
      <c r="D56" s="4">
        <v>1</v>
      </c>
      <c r="E56" s="4">
        <v>206</v>
      </c>
      <c r="F56" s="4">
        <f>ROUND(Source!T35,O56)</f>
        <v>0</v>
      </c>
      <c r="G56" s="4" t="s">
        <v>99</v>
      </c>
      <c r="H56" s="4" t="s">
        <v>100</v>
      </c>
      <c r="I56" s="4"/>
      <c r="J56" s="4"/>
      <c r="K56" s="4">
        <v>206</v>
      </c>
      <c r="L56" s="4">
        <v>20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ht="13" x14ac:dyDescent="0.3">
      <c r="A57" s="4">
        <v>50</v>
      </c>
      <c r="B57" s="4">
        <v>0</v>
      </c>
      <c r="C57" s="4">
        <v>0</v>
      </c>
      <c r="D57" s="4">
        <v>1</v>
      </c>
      <c r="E57" s="4">
        <v>207</v>
      </c>
      <c r="F57" s="4">
        <f>Source!U35</f>
        <v>6609.8239999999987</v>
      </c>
      <c r="G57" s="4" t="s">
        <v>101</v>
      </c>
      <c r="H57" s="4" t="s">
        <v>102</v>
      </c>
      <c r="I57" s="4"/>
      <c r="J57" s="4"/>
      <c r="K57" s="4">
        <v>207</v>
      </c>
      <c r="L57" s="4">
        <v>21</v>
      </c>
      <c r="M57" s="4">
        <v>3</v>
      </c>
      <c r="N57" s="4" t="s">
        <v>3</v>
      </c>
      <c r="O57" s="4">
        <v>-1</v>
      </c>
      <c r="P57" s="4"/>
      <c r="Q57" s="4"/>
      <c r="R57" s="4"/>
      <c r="S57" s="4"/>
      <c r="T57" s="4"/>
      <c r="U57" s="4"/>
      <c r="V57" s="4"/>
      <c r="W57" s="4">
        <v>6609.8240000000005</v>
      </c>
      <c r="X57" s="4">
        <v>1</v>
      </c>
      <c r="Y57" s="4">
        <v>6609.8240000000005</v>
      </c>
      <c r="Z57" s="4"/>
      <c r="AA57" s="4"/>
      <c r="AB57" s="4"/>
    </row>
    <row r="58" spans="1:28" ht="13" x14ac:dyDescent="0.3">
      <c r="A58" s="4">
        <v>50</v>
      </c>
      <c r="B58" s="4">
        <v>0</v>
      </c>
      <c r="C58" s="4">
        <v>0</v>
      </c>
      <c r="D58" s="4">
        <v>1</v>
      </c>
      <c r="E58" s="4">
        <v>208</v>
      </c>
      <c r="F58" s="4">
        <f>Source!V35</f>
        <v>0</v>
      </c>
      <c r="G58" s="4" t="s">
        <v>103</v>
      </c>
      <c r="H58" s="4" t="s">
        <v>104</v>
      </c>
      <c r="I58" s="4"/>
      <c r="J58" s="4"/>
      <c r="K58" s="4">
        <v>208</v>
      </c>
      <c r="L58" s="4">
        <v>22</v>
      </c>
      <c r="M58" s="4">
        <v>3</v>
      </c>
      <c r="N58" s="4" t="s">
        <v>3</v>
      </c>
      <c r="O58" s="4">
        <v>-1</v>
      </c>
      <c r="P58" s="4"/>
      <c r="Q58" s="4"/>
      <c r="R58" s="4"/>
      <c r="S58" s="4"/>
      <c r="T58" s="4"/>
      <c r="U58" s="4"/>
      <c r="V58" s="4"/>
      <c r="W58" s="4">
        <v>0</v>
      </c>
      <c r="X58" s="4">
        <v>1</v>
      </c>
      <c r="Y58" s="4">
        <v>0</v>
      </c>
      <c r="Z58" s="4"/>
      <c r="AA58" s="4"/>
      <c r="AB58" s="4"/>
    </row>
    <row r="59" spans="1:28" ht="13" x14ac:dyDescent="0.3">
      <c r="A59" s="4">
        <v>50</v>
      </c>
      <c r="B59" s="4">
        <v>0</v>
      </c>
      <c r="C59" s="4">
        <v>0</v>
      </c>
      <c r="D59" s="4">
        <v>1</v>
      </c>
      <c r="E59" s="4">
        <v>209</v>
      </c>
      <c r="F59" s="4">
        <f>ROUND(Source!W35,O59)</f>
        <v>0</v>
      </c>
      <c r="G59" s="4" t="s">
        <v>105</v>
      </c>
      <c r="H59" s="4" t="s">
        <v>106</v>
      </c>
      <c r="I59" s="4"/>
      <c r="J59" s="4"/>
      <c r="K59" s="4">
        <v>209</v>
      </c>
      <c r="L59" s="4">
        <v>23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ht="13" x14ac:dyDescent="0.3">
      <c r="A60" s="4">
        <v>50</v>
      </c>
      <c r="B60" s="4">
        <v>0</v>
      </c>
      <c r="C60" s="4">
        <v>0</v>
      </c>
      <c r="D60" s="4">
        <v>1</v>
      </c>
      <c r="E60" s="4">
        <v>233</v>
      </c>
      <c r="F60" s="4">
        <f>ROUND(Source!BD35,O60)</f>
        <v>0</v>
      </c>
      <c r="G60" s="4" t="s">
        <v>107</v>
      </c>
      <c r="H60" s="4" t="s">
        <v>108</v>
      </c>
      <c r="I60" s="4"/>
      <c r="J60" s="4"/>
      <c r="K60" s="4">
        <v>233</v>
      </c>
      <c r="L60" s="4">
        <v>24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ht="13" x14ac:dyDescent="0.3">
      <c r="A61" s="4">
        <v>50</v>
      </c>
      <c r="B61" s="4">
        <v>0</v>
      </c>
      <c r="C61" s="4">
        <v>0</v>
      </c>
      <c r="D61" s="4">
        <v>1</v>
      </c>
      <c r="E61" s="4">
        <v>210</v>
      </c>
      <c r="F61" s="4">
        <f>ROUND(Source!X35,O61)</f>
        <v>1775416.06</v>
      </c>
      <c r="G61" s="4" t="s">
        <v>109</v>
      </c>
      <c r="H61" s="4" t="s">
        <v>110</v>
      </c>
      <c r="I61" s="4"/>
      <c r="J61" s="4"/>
      <c r="K61" s="4">
        <v>210</v>
      </c>
      <c r="L61" s="4">
        <v>25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1775416.06</v>
      </c>
      <c r="X61" s="4">
        <v>1</v>
      </c>
      <c r="Y61" s="4">
        <v>1775416.06</v>
      </c>
      <c r="Z61" s="4"/>
      <c r="AA61" s="4"/>
      <c r="AB61" s="4"/>
    </row>
    <row r="62" spans="1:28" ht="13" x14ac:dyDescent="0.3">
      <c r="A62" s="4">
        <v>50</v>
      </c>
      <c r="B62" s="4">
        <v>0</v>
      </c>
      <c r="C62" s="4">
        <v>0</v>
      </c>
      <c r="D62" s="4">
        <v>1</v>
      </c>
      <c r="E62" s="4">
        <v>211</v>
      </c>
      <c r="F62" s="4">
        <f>ROUND(Source!Y35,O62)</f>
        <v>253630.87</v>
      </c>
      <c r="G62" s="4" t="s">
        <v>111</v>
      </c>
      <c r="H62" s="4" t="s">
        <v>112</v>
      </c>
      <c r="I62" s="4"/>
      <c r="J62" s="4"/>
      <c r="K62" s="4">
        <v>211</v>
      </c>
      <c r="L62" s="4">
        <v>26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253630.87</v>
      </c>
      <c r="X62" s="4">
        <v>1</v>
      </c>
      <c r="Y62" s="4">
        <v>253630.87</v>
      </c>
      <c r="Z62" s="4"/>
      <c r="AA62" s="4"/>
      <c r="AB62" s="4"/>
    </row>
    <row r="63" spans="1:28" ht="13" x14ac:dyDescent="0.3">
      <c r="A63" s="4">
        <v>50</v>
      </c>
      <c r="B63" s="4">
        <v>0</v>
      </c>
      <c r="C63" s="4">
        <v>0</v>
      </c>
      <c r="D63" s="4">
        <v>1</v>
      </c>
      <c r="E63" s="4">
        <v>224</v>
      </c>
      <c r="F63" s="4">
        <f>ROUND(Source!AR35,O63)</f>
        <v>14513860.99</v>
      </c>
      <c r="G63" s="4" t="s">
        <v>113</v>
      </c>
      <c r="H63" s="4" t="s">
        <v>114</v>
      </c>
      <c r="I63" s="4"/>
      <c r="J63" s="4"/>
      <c r="K63" s="4">
        <v>224</v>
      </c>
      <c r="L63" s="4">
        <v>27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14513860.99</v>
      </c>
      <c r="X63" s="4">
        <v>1</v>
      </c>
      <c r="Y63" s="4">
        <v>14513860.99</v>
      </c>
      <c r="Z63" s="4"/>
      <c r="AA63" s="4"/>
      <c r="AB63" s="4"/>
    </row>
    <row r="65" spans="1:206" ht="13" x14ac:dyDescent="0.3">
      <c r="A65" s="2">
        <v>51</v>
      </c>
      <c r="B65" s="2">
        <f>B12</f>
        <v>100</v>
      </c>
      <c r="C65" s="2">
        <f>A12</f>
        <v>1</v>
      </c>
      <c r="D65" s="2">
        <f>ROW(A12)</f>
        <v>12</v>
      </c>
      <c r="E65" s="2"/>
      <c r="F65" s="2" t="str">
        <f>IF(F12&lt;&gt;"",F12,"")</f>
        <v>Новый объект</v>
      </c>
      <c r="G65" s="2" t="str">
        <f>IF(G12&lt;&gt;"",G12,"")</f>
        <v>Содержание биотуалетов</v>
      </c>
      <c r="H65" s="2">
        <v>0</v>
      </c>
      <c r="I65" s="2"/>
      <c r="J65" s="2"/>
      <c r="K65" s="2"/>
      <c r="L65" s="2"/>
      <c r="M65" s="2"/>
      <c r="N65" s="2"/>
      <c r="O65" s="2">
        <f t="shared" ref="O65:T65" si="48">ROUND(O35,2)</f>
        <v>9397699.6999999993</v>
      </c>
      <c r="P65" s="2">
        <f t="shared" si="48"/>
        <v>319436.69</v>
      </c>
      <c r="Q65" s="2">
        <f t="shared" si="48"/>
        <v>6541954.3499999996</v>
      </c>
      <c r="R65" s="2">
        <f t="shared" si="48"/>
        <v>2858439.22</v>
      </c>
      <c r="S65" s="2">
        <f t="shared" si="48"/>
        <v>2536308.66</v>
      </c>
      <c r="T65" s="2">
        <f t="shared" si="48"/>
        <v>0</v>
      </c>
      <c r="U65" s="2">
        <f>U35</f>
        <v>6609.8239999999987</v>
      </c>
      <c r="V65" s="2">
        <f>V35</f>
        <v>0</v>
      </c>
      <c r="W65" s="2">
        <f>ROUND(W35,2)</f>
        <v>0</v>
      </c>
      <c r="X65" s="2">
        <f>ROUND(X35,2)</f>
        <v>1775416.06</v>
      </c>
      <c r="Y65" s="2">
        <f>ROUND(Y35,2)</f>
        <v>253630.87</v>
      </c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>
        <f t="shared" ref="AO65:BD65" si="49">ROUND(AO35,2)</f>
        <v>0</v>
      </c>
      <c r="AP65" s="2">
        <f t="shared" si="49"/>
        <v>0</v>
      </c>
      <c r="AQ65" s="2">
        <f t="shared" si="49"/>
        <v>0</v>
      </c>
      <c r="AR65" s="2">
        <f t="shared" si="49"/>
        <v>14513860.99</v>
      </c>
      <c r="AS65" s="2">
        <f t="shared" si="49"/>
        <v>179485.89</v>
      </c>
      <c r="AT65" s="2">
        <f t="shared" si="49"/>
        <v>0</v>
      </c>
      <c r="AU65" s="2">
        <f t="shared" si="49"/>
        <v>14334375.1</v>
      </c>
      <c r="AV65" s="2">
        <f t="shared" si="49"/>
        <v>319436.69</v>
      </c>
      <c r="AW65" s="2">
        <f t="shared" si="49"/>
        <v>319436.69</v>
      </c>
      <c r="AX65" s="2">
        <f t="shared" si="49"/>
        <v>0</v>
      </c>
      <c r="AY65" s="2">
        <f t="shared" si="49"/>
        <v>319436.69</v>
      </c>
      <c r="AZ65" s="2">
        <f t="shared" si="49"/>
        <v>0</v>
      </c>
      <c r="BA65" s="2">
        <f t="shared" si="49"/>
        <v>0</v>
      </c>
      <c r="BB65" s="2">
        <f t="shared" si="49"/>
        <v>0</v>
      </c>
      <c r="BC65" s="2">
        <f t="shared" si="49"/>
        <v>0</v>
      </c>
      <c r="BD65" s="2">
        <f t="shared" si="49"/>
        <v>0</v>
      </c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>
        <v>0</v>
      </c>
    </row>
    <row r="67" spans="1:206" ht="13" x14ac:dyDescent="0.3">
      <c r="A67" s="4">
        <v>50</v>
      </c>
      <c r="B67" s="4">
        <v>0</v>
      </c>
      <c r="C67" s="4">
        <v>0</v>
      </c>
      <c r="D67" s="4">
        <v>1</v>
      </c>
      <c r="E67" s="4">
        <v>201</v>
      </c>
      <c r="F67" s="4">
        <f>ROUND(Source!O65,O67)</f>
        <v>9397699.6999999993</v>
      </c>
      <c r="G67" s="4" t="s">
        <v>61</v>
      </c>
      <c r="H67" s="4" t="s">
        <v>62</v>
      </c>
      <c r="I67" s="4"/>
      <c r="J67" s="4"/>
      <c r="K67" s="4">
        <v>201</v>
      </c>
      <c r="L67" s="4">
        <v>1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9397699.6999999993</v>
      </c>
      <c r="X67" s="4">
        <v>1</v>
      </c>
      <c r="Y67" s="4">
        <v>9397699.6999999993</v>
      </c>
      <c r="Z67" s="4"/>
      <c r="AA67" s="4"/>
      <c r="AB67" s="4"/>
    </row>
    <row r="68" spans="1:206" ht="13" x14ac:dyDescent="0.3">
      <c r="A68" s="4">
        <v>50</v>
      </c>
      <c r="B68" s="4">
        <v>0</v>
      </c>
      <c r="C68" s="4">
        <v>0</v>
      </c>
      <c r="D68" s="4">
        <v>1</v>
      </c>
      <c r="E68" s="4">
        <v>202</v>
      </c>
      <c r="F68" s="4">
        <f>ROUND(Source!P65,O68)</f>
        <v>319436.69</v>
      </c>
      <c r="G68" s="4" t="s">
        <v>63</v>
      </c>
      <c r="H68" s="4" t="s">
        <v>64</v>
      </c>
      <c r="I68" s="4"/>
      <c r="J68" s="4"/>
      <c r="K68" s="4">
        <v>202</v>
      </c>
      <c r="L68" s="4">
        <v>2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319436.69</v>
      </c>
      <c r="X68" s="4">
        <v>1</v>
      </c>
      <c r="Y68" s="4">
        <v>319436.69</v>
      </c>
      <c r="Z68" s="4"/>
      <c r="AA68" s="4"/>
      <c r="AB68" s="4"/>
    </row>
    <row r="69" spans="1:206" ht="13" x14ac:dyDescent="0.3">
      <c r="A69" s="4">
        <v>50</v>
      </c>
      <c r="B69" s="4">
        <v>0</v>
      </c>
      <c r="C69" s="4">
        <v>0</v>
      </c>
      <c r="D69" s="4">
        <v>1</v>
      </c>
      <c r="E69" s="4">
        <v>222</v>
      </c>
      <c r="F69" s="4">
        <f>ROUND(Source!AO65,O69)</f>
        <v>0</v>
      </c>
      <c r="G69" s="4" t="s">
        <v>65</v>
      </c>
      <c r="H69" s="4" t="s">
        <v>66</v>
      </c>
      <c r="I69" s="4"/>
      <c r="J69" s="4"/>
      <c r="K69" s="4">
        <v>222</v>
      </c>
      <c r="L69" s="4">
        <v>3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206" ht="13" x14ac:dyDescent="0.3">
      <c r="A70" s="4">
        <v>50</v>
      </c>
      <c r="B70" s="4">
        <v>0</v>
      </c>
      <c r="C70" s="4">
        <v>0</v>
      </c>
      <c r="D70" s="4">
        <v>1</v>
      </c>
      <c r="E70" s="4">
        <v>225</v>
      </c>
      <c r="F70" s="4">
        <f>ROUND(Source!AV65,O70)</f>
        <v>319436.69</v>
      </c>
      <c r="G70" s="4" t="s">
        <v>67</v>
      </c>
      <c r="H70" s="4" t="s">
        <v>68</v>
      </c>
      <c r="I70" s="4"/>
      <c r="J70" s="4"/>
      <c r="K70" s="4">
        <v>225</v>
      </c>
      <c r="L70" s="4">
        <v>4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319436.69</v>
      </c>
      <c r="X70" s="4">
        <v>1</v>
      </c>
      <c r="Y70" s="4">
        <v>319436.69</v>
      </c>
      <c r="Z70" s="4"/>
      <c r="AA70" s="4"/>
      <c r="AB70" s="4"/>
    </row>
    <row r="71" spans="1:206" ht="13" x14ac:dyDescent="0.3">
      <c r="A71" s="4">
        <v>50</v>
      </c>
      <c r="B71" s="4">
        <v>0</v>
      </c>
      <c r="C71" s="4">
        <v>0</v>
      </c>
      <c r="D71" s="4">
        <v>1</v>
      </c>
      <c r="E71" s="4">
        <v>226</v>
      </c>
      <c r="F71" s="4">
        <f>ROUND(Source!AW65,O71)</f>
        <v>319436.69</v>
      </c>
      <c r="G71" s="4" t="s">
        <v>69</v>
      </c>
      <c r="H71" s="4" t="s">
        <v>70</v>
      </c>
      <c r="I71" s="4"/>
      <c r="J71" s="4"/>
      <c r="K71" s="4">
        <v>226</v>
      </c>
      <c r="L71" s="4">
        <v>5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319436.69</v>
      </c>
      <c r="X71" s="4">
        <v>1</v>
      </c>
      <c r="Y71" s="4">
        <v>319436.69</v>
      </c>
      <c r="Z71" s="4"/>
      <c r="AA71" s="4"/>
      <c r="AB71" s="4"/>
    </row>
    <row r="72" spans="1:206" ht="13" x14ac:dyDescent="0.3">
      <c r="A72" s="4">
        <v>50</v>
      </c>
      <c r="B72" s="4">
        <v>0</v>
      </c>
      <c r="C72" s="4">
        <v>0</v>
      </c>
      <c r="D72" s="4">
        <v>1</v>
      </c>
      <c r="E72" s="4">
        <v>227</v>
      </c>
      <c r="F72" s="4">
        <f>ROUND(Source!AX65,O72)</f>
        <v>0</v>
      </c>
      <c r="G72" s="4" t="s">
        <v>71</v>
      </c>
      <c r="H72" s="4" t="s">
        <v>72</v>
      </c>
      <c r="I72" s="4"/>
      <c r="J72" s="4"/>
      <c r="K72" s="4">
        <v>227</v>
      </c>
      <c r="L72" s="4">
        <v>6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0</v>
      </c>
      <c r="X72" s="4">
        <v>1</v>
      </c>
      <c r="Y72" s="4">
        <v>0</v>
      </c>
      <c r="Z72" s="4"/>
      <c r="AA72" s="4"/>
      <c r="AB72" s="4"/>
    </row>
    <row r="73" spans="1:206" ht="13" x14ac:dyDescent="0.3">
      <c r="A73" s="4">
        <v>50</v>
      </c>
      <c r="B73" s="4">
        <v>0</v>
      </c>
      <c r="C73" s="4">
        <v>0</v>
      </c>
      <c r="D73" s="4">
        <v>1</v>
      </c>
      <c r="E73" s="4">
        <v>228</v>
      </c>
      <c r="F73" s="4">
        <f>ROUND(Source!AY65,O73)</f>
        <v>319436.69</v>
      </c>
      <c r="G73" s="4" t="s">
        <v>73</v>
      </c>
      <c r="H73" s="4" t="s">
        <v>74</v>
      </c>
      <c r="I73" s="4"/>
      <c r="J73" s="4"/>
      <c r="K73" s="4">
        <v>228</v>
      </c>
      <c r="L73" s="4">
        <v>7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319436.69</v>
      </c>
      <c r="X73" s="4">
        <v>1</v>
      </c>
      <c r="Y73" s="4">
        <v>319436.69</v>
      </c>
      <c r="Z73" s="4"/>
      <c r="AA73" s="4"/>
      <c r="AB73" s="4"/>
    </row>
    <row r="74" spans="1:206" ht="13" x14ac:dyDescent="0.3">
      <c r="A74" s="4">
        <v>50</v>
      </c>
      <c r="B74" s="4">
        <v>0</v>
      </c>
      <c r="C74" s="4">
        <v>0</v>
      </c>
      <c r="D74" s="4">
        <v>1</v>
      </c>
      <c r="E74" s="4">
        <v>216</v>
      </c>
      <c r="F74" s="4">
        <f>ROUND(Source!AP65,O74)</f>
        <v>0</v>
      </c>
      <c r="G74" s="4" t="s">
        <v>75</v>
      </c>
      <c r="H74" s="4" t="s">
        <v>76</v>
      </c>
      <c r="I74" s="4"/>
      <c r="J74" s="4"/>
      <c r="K74" s="4">
        <v>216</v>
      </c>
      <c r="L74" s="4">
        <v>8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0</v>
      </c>
      <c r="X74" s="4">
        <v>1</v>
      </c>
      <c r="Y74" s="4">
        <v>0</v>
      </c>
      <c r="Z74" s="4"/>
      <c r="AA74" s="4"/>
      <c r="AB74" s="4"/>
    </row>
    <row r="75" spans="1:206" ht="13" x14ac:dyDescent="0.3">
      <c r="A75" s="4">
        <v>50</v>
      </c>
      <c r="B75" s="4">
        <v>0</v>
      </c>
      <c r="C75" s="4">
        <v>0</v>
      </c>
      <c r="D75" s="4">
        <v>1</v>
      </c>
      <c r="E75" s="4">
        <v>223</v>
      </c>
      <c r="F75" s="4">
        <f>ROUND(Source!AQ65,O75)</f>
        <v>0</v>
      </c>
      <c r="G75" s="4" t="s">
        <v>77</v>
      </c>
      <c r="H75" s="4" t="s">
        <v>78</v>
      </c>
      <c r="I75" s="4"/>
      <c r="J75" s="4"/>
      <c r="K75" s="4">
        <v>223</v>
      </c>
      <c r="L75" s="4">
        <v>9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0</v>
      </c>
      <c r="X75" s="4">
        <v>1</v>
      </c>
      <c r="Y75" s="4">
        <v>0</v>
      </c>
      <c r="Z75" s="4"/>
      <c r="AA75" s="4"/>
      <c r="AB75" s="4"/>
    </row>
    <row r="76" spans="1:206" ht="13" x14ac:dyDescent="0.3">
      <c r="A76" s="4">
        <v>50</v>
      </c>
      <c r="B76" s="4">
        <v>0</v>
      </c>
      <c r="C76" s="4">
        <v>0</v>
      </c>
      <c r="D76" s="4">
        <v>1</v>
      </c>
      <c r="E76" s="4">
        <v>229</v>
      </c>
      <c r="F76" s="4">
        <f>ROUND(Source!AZ65,O76)</f>
        <v>0</v>
      </c>
      <c r="G76" s="4" t="s">
        <v>79</v>
      </c>
      <c r="H76" s="4" t="s">
        <v>80</v>
      </c>
      <c r="I76" s="4"/>
      <c r="J76" s="4"/>
      <c r="K76" s="4">
        <v>229</v>
      </c>
      <c r="L76" s="4">
        <v>10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0</v>
      </c>
      <c r="X76" s="4">
        <v>1</v>
      </c>
      <c r="Y76" s="4">
        <v>0</v>
      </c>
      <c r="Z76" s="4"/>
      <c r="AA76" s="4"/>
      <c r="AB76" s="4"/>
    </row>
    <row r="77" spans="1:206" ht="13" x14ac:dyDescent="0.3">
      <c r="A77" s="4">
        <v>50</v>
      </c>
      <c r="B77" s="4">
        <v>0</v>
      </c>
      <c r="C77" s="4">
        <v>0</v>
      </c>
      <c r="D77" s="4">
        <v>1</v>
      </c>
      <c r="E77" s="4">
        <v>203</v>
      </c>
      <c r="F77" s="4">
        <f>ROUND(Source!Q65,O77)</f>
        <v>6541954.3499999996</v>
      </c>
      <c r="G77" s="4" t="s">
        <v>81</v>
      </c>
      <c r="H77" s="4" t="s">
        <v>82</v>
      </c>
      <c r="I77" s="4"/>
      <c r="J77" s="4"/>
      <c r="K77" s="4">
        <v>203</v>
      </c>
      <c r="L77" s="4">
        <v>11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6541954.3499999996</v>
      </c>
      <c r="X77" s="4">
        <v>1</v>
      </c>
      <c r="Y77" s="4">
        <v>6541954.3499999996</v>
      </c>
      <c r="Z77" s="4"/>
      <c r="AA77" s="4"/>
      <c r="AB77" s="4"/>
    </row>
    <row r="78" spans="1:206" ht="13" x14ac:dyDescent="0.3">
      <c r="A78" s="4">
        <v>50</v>
      </c>
      <c r="B78" s="4">
        <v>0</v>
      </c>
      <c r="C78" s="4">
        <v>0</v>
      </c>
      <c r="D78" s="4">
        <v>1</v>
      </c>
      <c r="E78" s="4">
        <v>231</v>
      </c>
      <c r="F78" s="4">
        <f>ROUND(Source!BB65,O78)</f>
        <v>0</v>
      </c>
      <c r="G78" s="4" t="s">
        <v>83</v>
      </c>
      <c r="H78" s="4" t="s">
        <v>84</v>
      </c>
      <c r="I78" s="4"/>
      <c r="J78" s="4"/>
      <c r="K78" s="4">
        <v>231</v>
      </c>
      <c r="L78" s="4">
        <v>12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0</v>
      </c>
      <c r="X78" s="4">
        <v>1</v>
      </c>
      <c r="Y78" s="4">
        <v>0</v>
      </c>
      <c r="Z78" s="4"/>
      <c r="AA78" s="4"/>
      <c r="AB78" s="4"/>
    </row>
    <row r="79" spans="1:206" ht="13" x14ac:dyDescent="0.3">
      <c r="A79" s="4">
        <v>50</v>
      </c>
      <c r="B79" s="4">
        <v>0</v>
      </c>
      <c r="C79" s="4">
        <v>0</v>
      </c>
      <c r="D79" s="4">
        <v>1</v>
      </c>
      <c r="E79" s="4">
        <v>204</v>
      </c>
      <c r="F79" s="4">
        <f>ROUND(Source!R65,O79)</f>
        <v>2858439.22</v>
      </c>
      <c r="G79" s="4" t="s">
        <v>85</v>
      </c>
      <c r="H79" s="4" t="s">
        <v>86</v>
      </c>
      <c r="I79" s="4"/>
      <c r="J79" s="4"/>
      <c r="K79" s="4">
        <v>204</v>
      </c>
      <c r="L79" s="4">
        <v>13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2858439.22</v>
      </c>
      <c r="X79" s="4">
        <v>1</v>
      </c>
      <c r="Y79" s="4">
        <v>2858439.22</v>
      </c>
      <c r="Z79" s="4"/>
      <c r="AA79" s="4"/>
      <c r="AB79" s="4"/>
    </row>
    <row r="80" spans="1:206" ht="13" x14ac:dyDescent="0.3">
      <c r="A80" s="4">
        <v>50</v>
      </c>
      <c r="B80" s="4">
        <v>0</v>
      </c>
      <c r="C80" s="4">
        <v>0</v>
      </c>
      <c r="D80" s="4">
        <v>1</v>
      </c>
      <c r="E80" s="4">
        <v>205</v>
      </c>
      <c r="F80" s="4">
        <f>ROUND(Source!S65,O80)</f>
        <v>2536308.66</v>
      </c>
      <c r="G80" s="4" t="s">
        <v>87</v>
      </c>
      <c r="H80" s="4" t="s">
        <v>88</v>
      </c>
      <c r="I80" s="4"/>
      <c r="J80" s="4"/>
      <c r="K80" s="4">
        <v>205</v>
      </c>
      <c r="L80" s="4">
        <v>14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2536308.66</v>
      </c>
      <c r="X80" s="4">
        <v>1</v>
      </c>
      <c r="Y80" s="4">
        <v>2536308.66</v>
      </c>
      <c r="Z80" s="4"/>
      <c r="AA80" s="4"/>
      <c r="AB80" s="4"/>
    </row>
    <row r="81" spans="1:28" ht="13" x14ac:dyDescent="0.3">
      <c r="A81" s="4">
        <v>50</v>
      </c>
      <c r="B81" s="4">
        <v>0</v>
      </c>
      <c r="C81" s="4">
        <v>0</v>
      </c>
      <c r="D81" s="4">
        <v>1</v>
      </c>
      <c r="E81" s="4">
        <v>232</v>
      </c>
      <c r="F81" s="4">
        <f>ROUND(Source!BC65,O81)</f>
        <v>0</v>
      </c>
      <c r="G81" s="4" t="s">
        <v>89</v>
      </c>
      <c r="H81" s="4" t="s">
        <v>90</v>
      </c>
      <c r="I81" s="4"/>
      <c r="J81" s="4"/>
      <c r="K81" s="4">
        <v>232</v>
      </c>
      <c r="L81" s="4">
        <v>15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0</v>
      </c>
      <c r="X81" s="4">
        <v>1</v>
      </c>
      <c r="Y81" s="4">
        <v>0</v>
      </c>
      <c r="Z81" s="4"/>
      <c r="AA81" s="4"/>
      <c r="AB81" s="4"/>
    </row>
    <row r="82" spans="1:28" ht="13" x14ac:dyDescent="0.3">
      <c r="A82" s="4">
        <v>50</v>
      </c>
      <c r="B82" s="4">
        <v>0</v>
      </c>
      <c r="C82" s="4">
        <v>0</v>
      </c>
      <c r="D82" s="4">
        <v>1</v>
      </c>
      <c r="E82" s="4">
        <v>214</v>
      </c>
      <c r="F82" s="4">
        <f>ROUND(Source!AS65,O82)</f>
        <v>179485.89</v>
      </c>
      <c r="G82" s="4" t="s">
        <v>91</v>
      </c>
      <c r="H82" s="4" t="s">
        <v>92</v>
      </c>
      <c r="I82" s="4"/>
      <c r="J82" s="4"/>
      <c r="K82" s="4">
        <v>214</v>
      </c>
      <c r="L82" s="4">
        <v>16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179485.89</v>
      </c>
      <c r="X82" s="4">
        <v>1</v>
      </c>
      <c r="Y82" s="4">
        <v>179485.89</v>
      </c>
      <c r="Z82" s="4"/>
      <c r="AA82" s="4"/>
      <c r="AB82" s="4"/>
    </row>
    <row r="83" spans="1:28" ht="13" x14ac:dyDescent="0.3">
      <c r="A83" s="4">
        <v>50</v>
      </c>
      <c r="B83" s="4">
        <v>0</v>
      </c>
      <c r="C83" s="4">
        <v>0</v>
      </c>
      <c r="D83" s="4">
        <v>1</v>
      </c>
      <c r="E83" s="4">
        <v>215</v>
      </c>
      <c r="F83" s="4">
        <f>ROUND(Source!AT65,O83)</f>
        <v>0</v>
      </c>
      <c r="G83" s="4" t="s">
        <v>93</v>
      </c>
      <c r="H83" s="4" t="s">
        <v>94</v>
      </c>
      <c r="I83" s="4"/>
      <c r="J83" s="4"/>
      <c r="K83" s="4">
        <v>215</v>
      </c>
      <c r="L83" s="4">
        <v>17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0</v>
      </c>
      <c r="X83" s="4">
        <v>1</v>
      </c>
      <c r="Y83" s="4">
        <v>0</v>
      </c>
      <c r="Z83" s="4"/>
      <c r="AA83" s="4"/>
      <c r="AB83" s="4"/>
    </row>
    <row r="84" spans="1:28" ht="13" x14ac:dyDescent="0.3">
      <c r="A84" s="4">
        <v>50</v>
      </c>
      <c r="B84" s="4">
        <v>0</v>
      </c>
      <c r="C84" s="4">
        <v>0</v>
      </c>
      <c r="D84" s="4">
        <v>1</v>
      </c>
      <c r="E84" s="4">
        <v>217</v>
      </c>
      <c r="F84" s="4">
        <f>ROUND(Source!AU65,O84)</f>
        <v>14334375.1</v>
      </c>
      <c r="G84" s="4" t="s">
        <v>95</v>
      </c>
      <c r="H84" s="4" t="s">
        <v>96</v>
      </c>
      <c r="I84" s="4"/>
      <c r="J84" s="4"/>
      <c r="K84" s="4">
        <v>217</v>
      </c>
      <c r="L84" s="4">
        <v>18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14334375.1</v>
      </c>
      <c r="X84" s="4">
        <v>1</v>
      </c>
      <c r="Y84" s="4">
        <v>14334375.1</v>
      </c>
      <c r="Z84" s="4"/>
      <c r="AA84" s="4"/>
      <c r="AB84" s="4"/>
    </row>
    <row r="85" spans="1:28" ht="13" x14ac:dyDescent="0.3">
      <c r="A85" s="4">
        <v>50</v>
      </c>
      <c r="B85" s="4">
        <v>0</v>
      </c>
      <c r="C85" s="4">
        <v>0</v>
      </c>
      <c r="D85" s="4">
        <v>1</v>
      </c>
      <c r="E85" s="4">
        <v>230</v>
      </c>
      <c r="F85" s="4">
        <f>ROUND(Source!BA65,O85)</f>
        <v>0</v>
      </c>
      <c r="G85" s="4" t="s">
        <v>97</v>
      </c>
      <c r="H85" s="4" t="s">
        <v>98</v>
      </c>
      <c r="I85" s="4"/>
      <c r="J85" s="4"/>
      <c r="K85" s="4">
        <v>230</v>
      </c>
      <c r="L85" s="4">
        <v>19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8" ht="13" x14ac:dyDescent="0.3">
      <c r="A86" s="4">
        <v>50</v>
      </c>
      <c r="B86" s="4">
        <v>0</v>
      </c>
      <c r="C86" s="4">
        <v>0</v>
      </c>
      <c r="D86" s="4">
        <v>1</v>
      </c>
      <c r="E86" s="4">
        <v>206</v>
      </c>
      <c r="F86" s="4">
        <f>ROUND(Source!T65,O86)</f>
        <v>0</v>
      </c>
      <c r="G86" s="4" t="s">
        <v>99</v>
      </c>
      <c r="H86" s="4" t="s">
        <v>100</v>
      </c>
      <c r="I86" s="4"/>
      <c r="J86" s="4"/>
      <c r="K86" s="4">
        <v>206</v>
      </c>
      <c r="L86" s="4">
        <v>20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28" ht="13" x14ac:dyDescent="0.3">
      <c r="A87" s="4">
        <v>50</v>
      </c>
      <c r="B87" s="4">
        <v>0</v>
      </c>
      <c r="C87" s="4">
        <v>0</v>
      </c>
      <c r="D87" s="4">
        <v>1</v>
      </c>
      <c r="E87" s="4">
        <v>207</v>
      </c>
      <c r="F87" s="4">
        <f>Source!U65</f>
        <v>6609.8239999999987</v>
      </c>
      <c r="G87" s="4" t="s">
        <v>101</v>
      </c>
      <c r="H87" s="4" t="s">
        <v>102</v>
      </c>
      <c r="I87" s="4"/>
      <c r="J87" s="4"/>
      <c r="K87" s="4">
        <v>207</v>
      </c>
      <c r="L87" s="4">
        <v>21</v>
      </c>
      <c r="M87" s="4">
        <v>3</v>
      </c>
      <c r="N87" s="4" t="s">
        <v>3</v>
      </c>
      <c r="O87" s="4">
        <v>-1</v>
      </c>
      <c r="P87" s="4"/>
      <c r="Q87" s="4"/>
      <c r="R87" s="4"/>
      <c r="S87" s="4"/>
      <c r="T87" s="4"/>
      <c r="U87" s="4"/>
      <c r="V87" s="4"/>
      <c r="W87" s="4">
        <v>6609.8240000000005</v>
      </c>
      <c r="X87" s="4">
        <v>1</v>
      </c>
      <c r="Y87" s="4">
        <v>6609.8240000000005</v>
      </c>
      <c r="Z87" s="4"/>
      <c r="AA87" s="4"/>
      <c r="AB87" s="4"/>
    </row>
    <row r="88" spans="1:28" ht="13" x14ac:dyDescent="0.3">
      <c r="A88" s="4">
        <v>50</v>
      </c>
      <c r="B88" s="4">
        <v>0</v>
      </c>
      <c r="C88" s="4">
        <v>0</v>
      </c>
      <c r="D88" s="4">
        <v>1</v>
      </c>
      <c r="E88" s="4">
        <v>208</v>
      </c>
      <c r="F88" s="4">
        <f>Source!V65</f>
        <v>0</v>
      </c>
      <c r="G88" s="4" t="s">
        <v>103</v>
      </c>
      <c r="H88" s="4" t="s">
        <v>104</v>
      </c>
      <c r="I88" s="4"/>
      <c r="J88" s="4"/>
      <c r="K88" s="4">
        <v>208</v>
      </c>
      <c r="L88" s="4">
        <v>22</v>
      </c>
      <c r="M88" s="4">
        <v>3</v>
      </c>
      <c r="N88" s="4" t="s">
        <v>3</v>
      </c>
      <c r="O88" s="4">
        <v>-1</v>
      </c>
      <c r="P88" s="4"/>
      <c r="Q88" s="4"/>
      <c r="R88" s="4"/>
      <c r="S88" s="4"/>
      <c r="T88" s="4"/>
      <c r="U88" s="4"/>
      <c r="V88" s="4"/>
      <c r="W88" s="4">
        <v>0</v>
      </c>
      <c r="X88" s="4">
        <v>1</v>
      </c>
      <c r="Y88" s="4">
        <v>0</v>
      </c>
      <c r="Z88" s="4"/>
      <c r="AA88" s="4"/>
      <c r="AB88" s="4"/>
    </row>
    <row r="89" spans="1:28" ht="13" x14ac:dyDescent="0.3">
      <c r="A89" s="4">
        <v>50</v>
      </c>
      <c r="B89" s="4">
        <v>0</v>
      </c>
      <c r="C89" s="4">
        <v>0</v>
      </c>
      <c r="D89" s="4">
        <v>1</v>
      </c>
      <c r="E89" s="4">
        <v>209</v>
      </c>
      <c r="F89" s="4">
        <f>ROUND(Source!W65,O89)</f>
        <v>0</v>
      </c>
      <c r="G89" s="4" t="s">
        <v>105</v>
      </c>
      <c r="H89" s="4" t="s">
        <v>106</v>
      </c>
      <c r="I89" s="4"/>
      <c r="J89" s="4"/>
      <c r="K89" s="4">
        <v>209</v>
      </c>
      <c r="L89" s="4">
        <v>23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0</v>
      </c>
      <c r="X89" s="4">
        <v>1</v>
      </c>
      <c r="Y89" s="4">
        <v>0</v>
      </c>
      <c r="Z89" s="4"/>
      <c r="AA89" s="4"/>
      <c r="AB89" s="4"/>
    </row>
    <row r="90" spans="1:28" ht="13" x14ac:dyDescent="0.3">
      <c r="A90" s="4">
        <v>50</v>
      </c>
      <c r="B90" s="4">
        <v>0</v>
      </c>
      <c r="C90" s="4">
        <v>0</v>
      </c>
      <c r="D90" s="4">
        <v>1</v>
      </c>
      <c r="E90" s="4">
        <v>233</v>
      </c>
      <c r="F90" s="4">
        <f>ROUND(Source!BD65,O90)</f>
        <v>0</v>
      </c>
      <c r="G90" s="4" t="s">
        <v>107</v>
      </c>
      <c r="H90" s="4" t="s">
        <v>108</v>
      </c>
      <c r="I90" s="4"/>
      <c r="J90" s="4"/>
      <c r="K90" s="4">
        <v>233</v>
      </c>
      <c r="L90" s="4">
        <v>24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28" ht="13" x14ac:dyDescent="0.3">
      <c r="A91" s="4">
        <v>50</v>
      </c>
      <c r="B91" s="4">
        <v>0</v>
      </c>
      <c r="C91" s="4">
        <v>0</v>
      </c>
      <c r="D91" s="4">
        <v>1</v>
      </c>
      <c r="E91" s="4">
        <v>210</v>
      </c>
      <c r="F91" s="4">
        <f>ROUND(Source!X65,O91)</f>
        <v>1775416.06</v>
      </c>
      <c r="G91" s="4" t="s">
        <v>109</v>
      </c>
      <c r="H91" s="4" t="s">
        <v>110</v>
      </c>
      <c r="I91" s="4"/>
      <c r="J91" s="4"/>
      <c r="K91" s="4">
        <v>210</v>
      </c>
      <c r="L91" s="4">
        <v>25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1775416.06</v>
      </c>
      <c r="X91" s="4">
        <v>1</v>
      </c>
      <c r="Y91" s="4">
        <v>1775416.06</v>
      </c>
      <c r="Z91" s="4"/>
      <c r="AA91" s="4"/>
      <c r="AB91" s="4"/>
    </row>
    <row r="92" spans="1:28" ht="13" x14ac:dyDescent="0.3">
      <c r="A92" s="4">
        <v>50</v>
      </c>
      <c r="B92" s="4">
        <v>0</v>
      </c>
      <c r="C92" s="4">
        <v>0</v>
      </c>
      <c r="D92" s="4">
        <v>1</v>
      </c>
      <c r="E92" s="4">
        <v>211</v>
      </c>
      <c r="F92" s="4">
        <f>ROUND(Source!Y65,O92)</f>
        <v>253630.87</v>
      </c>
      <c r="G92" s="4" t="s">
        <v>111</v>
      </c>
      <c r="H92" s="4" t="s">
        <v>112</v>
      </c>
      <c r="I92" s="4"/>
      <c r="J92" s="4"/>
      <c r="K92" s="4">
        <v>211</v>
      </c>
      <c r="L92" s="4">
        <v>26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253630.87</v>
      </c>
      <c r="X92" s="4">
        <v>1</v>
      </c>
      <c r="Y92" s="4">
        <v>253630.87</v>
      </c>
      <c r="Z92" s="4"/>
      <c r="AA92" s="4"/>
      <c r="AB92" s="4"/>
    </row>
    <row r="93" spans="1:28" ht="13" x14ac:dyDescent="0.3">
      <c r="A93" s="4">
        <v>50</v>
      </c>
      <c r="B93" s="4">
        <v>0</v>
      </c>
      <c r="C93" s="4">
        <v>0</v>
      </c>
      <c r="D93" s="4">
        <v>1</v>
      </c>
      <c r="E93" s="4">
        <v>224</v>
      </c>
      <c r="F93" s="4">
        <f>ROUND(Source!AR65,O93)</f>
        <v>14513860.99</v>
      </c>
      <c r="G93" s="4" t="s">
        <v>113</v>
      </c>
      <c r="H93" s="4" t="s">
        <v>114</v>
      </c>
      <c r="I93" s="4"/>
      <c r="J93" s="4"/>
      <c r="K93" s="4">
        <v>224</v>
      </c>
      <c r="L93" s="4">
        <v>27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14513860.99</v>
      </c>
      <c r="X93" s="4">
        <v>1</v>
      </c>
      <c r="Y93" s="4">
        <v>14513860.99</v>
      </c>
      <c r="Z93" s="4"/>
      <c r="AA93" s="4"/>
      <c r="AB93" s="4"/>
    </row>
    <row r="94" spans="1:28" ht="13" x14ac:dyDescent="0.3">
      <c r="A94" s="4">
        <v>50</v>
      </c>
      <c r="B94" s="4">
        <v>1</v>
      </c>
      <c r="C94" s="4">
        <v>0</v>
      </c>
      <c r="D94" s="4">
        <v>2</v>
      </c>
      <c r="E94" s="4">
        <v>0</v>
      </c>
      <c r="F94" s="4">
        <f>ROUND(F93*0.22,O94)</f>
        <v>3193049.42</v>
      </c>
      <c r="G94" s="4" t="s">
        <v>3</v>
      </c>
      <c r="H94" s="4" t="s">
        <v>245</v>
      </c>
      <c r="I94" s="4"/>
      <c r="J94" s="4"/>
      <c r="K94" s="4">
        <v>212</v>
      </c>
      <c r="L94" s="4">
        <v>28</v>
      </c>
      <c r="M94" s="4">
        <v>0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2902772.2</v>
      </c>
      <c r="X94" s="4">
        <v>1</v>
      </c>
      <c r="Y94" s="4">
        <v>2902772.2</v>
      </c>
      <c r="Z94" s="4"/>
      <c r="AA94" s="4"/>
      <c r="AB94" s="4"/>
    </row>
    <row r="95" spans="1:28" ht="13" x14ac:dyDescent="0.3">
      <c r="A95" s="4">
        <v>50</v>
      </c>
      <c r="B95" s="4">
        <v>1</v>
      </c>
      <c r="C95" s="4">
        <v>0</v>
      </c>
      <c r="D95" s="4">
        <v>2</v>
      </c>
      <c r="E95" s="4">
        <v>0</v>
      </c>
      <c r="F95" s="4">
        <f>ROUND(F93*1.22,O95)</f>
        <v>17706910.41</v>
      </c>
      <c r="G95" s="4" t="s">
        <v>3</v>
      </c>
      <c r="H95" s="4" t="s">
        <v>116</v>
      </c>
      <c r="I95" s="4"/>
      <c r="J95" s="4"/>
      <c r="K95" s="4">
        <v>212</v>
      </c>
      <c r="L95" s="4">
        <v>29</v>
      </c>
      <c r="M95" s="4">
        <v>0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17416633.190000001</v>
      </c>
      <c r="X95" s="4">
        <v>1</v>
      </c>
      <c r="Y95" s="4">
        <v>17416633.190000001</v>
      </c>
      <c r="Z95" s="4"/>
      <c r="AA95" s="4"/>
      <c r="AB95" s="4"/>
    </row>
    <row r="98" spans="1:15" x14ac:dyDescent="0.25">
      <c r="A98">
        <v>-1</v>
      </c>
    </row>
    <row r="100" spans="1:15" ht="13" x14ac:dyDescent="0.3">
      <c r="A100" s="3">
        <v>75</v>
      </c>
      <c r="B100" s="3" t="s">
        <v>117</v>
      </c>
      <c r="C100" s="3">
        <v>2025</v>
      </c>
      <c r="D100" s="3">
        <v>4</v>
      </c>
      <c r="E100" s="3">
        <v>0</v>
      </c>
      <c r="F100" s="3">
        <v>0</v>
      </c>
      <c r="G100" s="3">
        <v>0</v>
      </c>
      <c r="H100" s="3">
        <v>1</v>
      </c>
      <c r="I100" s="3">
        <v>0</v>
      </c>
      <c r="J100" s="3">
        <v>1</v>
      </c>
      <c r="K100" s="3">
        <v>78</v>
      </c>
      <c r="L100" s="3">
        <v>30</v>
      </c>
      <c r="M100" s="3">
        <v>0</v>
      </c>
      <c r="N100" s="3">
        <v>80891032</v>
      </c>
      <c r="O100" s="3">
        <v>1</v>
      </c>
    </row>
    <row r="104" spans="1:15" x14ac:dyDescent="0.25">
      <c r="A104">
        <v>65</v>
      </c>
      <c r="C104">
        <v>1</v>
      </c>
      <c r="D104">
        <v>0</v>
      </c>
      <c r="E104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7659C-B6CC-4F43-BED8-A0B35671D58D}">
  <dimension ref="A1:EC53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33" x14ac:dyDescent="0.25">
      <c r="A1">
        <v>0</v>
      </c>
      <c r="B1" t="s">
        <v>0</v>
      </c>
      <c r="D1" t="s">
        <v>118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75383</v>
      </c>
      <c r="M1">
        <v>10</v>
      </c>
      <c r="N1">
        <v>11</v>
      </c>
      <c r="O1">
        <v>15</v>
      </c>
      <c r="P1">
        <v>0</v>
      </c>
      <c r="Q1">
        <v>1</v>
      </c>
    </row>
    <row r="12" spans="1:133" ht="13" x14ac:dyDescent="0.3">
      <c r="A12" s="1">
        <v>1</v>
      </c>
      <c r="B12" s="1">
        <v>53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ht="13" x14ac:dyDescent="0.3">
      <c r="A14" s="1">
        <v>22</v>
      </c>
      <c r="B14" s="1">
        <v>1</v>
      </c>
      <c r="C14" s="1">
        <v>0</v>
      </c>
      <c r="D14" s="1">
        <v>80891032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5">
      <c r="A16" s="5">
        <v>3</v>
      </c>
      <c r="B16" s="5">
        <v>1</v>
      </c>
      <c r="C16" s="5" t="s">
        <v>12</v>
      </c>
      <c r="D16" s="5" t="s">
        <v>12</v>
      </c>
      <c r="E16" s="6">
        <f>ROUND((Source!F52)/1000,2)</f>
        <v>179.49</v>
      </c>
      <c r="F16" s="6">
        <f>ROUND((Source!F53)/1000,2)</f>
        <v>0</v>
      </c>
      <c r="G16" s="6">
        <f>ROUND((Source!F44)/1000,2)</f>
        <v>0</v>
      </c>
      <c r="H16" s="6">
        <f>ROUND((Source!F54)/1000+(Source!F55)/1000,2)</f>
        <v>14334.38</v>
      </c>
      <c r="I16" s="6">
        <f>E16+F16+G16+H16</f>
        <v>14513.869999999999</v>
      </c>
      <c r="J16" s="6">
        <f>ROUND((Source!F50+Source!F49)/1000,2)</f>
        <v>5394.75</v>
      </c>
      <c r="K16" s="6">
        <v>9717.14</v>
      </c>
      <c r="L16" s="6">
        <v>0</v>
      </c>
      <c r="M16" s="6">
        <v>0</v>
      </c>
      <c r="N16" s="6">
        <f>I16+L16+M16</f>
        <v>14513.869999999999</v>
      </c>
      <c r="AI16" s="5">
        <v>0</v>
      </c>
      <c r="AJ16" s="5">
        <v>0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9397699.6999999993</v>
      </c>
      <c r="AU16" s="6">
        <v>319436.69</v>
      </c>
      <c r="AV16" s="6">
        <v>0</v>
      </c>
      <c r="AW16" s="6">
        <v>0</v>
      </c>
      <c r="AX16" s="6">
        <v>0</v>
      </c>
      <c r="AY16" s="6">
        <v>6541954.3499999996</v>
      </c>
      <c r="AZ16" s="6">
        <v>2858439.22</v>
      </c>
      <c r="BA16" s="6">
        <v>2536308.66</v>
      </c>
      <c r="BB16" s="6">
        <v>179485.89</v>
      </c>
      <c r="BC16" s="6">
        <v>0</v>
      </c>
      <c r="BD16" s="6">
        <v>14334375.1</v>
      </c>
      <c r="BE16" s="6">
        <v>0</v>
      </c>
      <c r="BF16" s="6">
        <v>6609.8240000000005</v>
      </c>
      <c r="BG16" s="6">
        <v>0</v>
      </c>
      <c r="BH16" s="6">
        <v>0</v>
      </c>
      <c r="BI16" s="6">
        <v>1775416.06</v>
      </c>
      <c r="BJ16" s="6">
        <v>253630.87</v>
      </c>
      <c r="BK16" s="6">
        <v>14513860.99</v>
      </c>
    </row>
    <row r="18" spans="1:16" x14ac:dyDescent="0.25">
      <c r="A18">
        <v>51</v>
      </c>
      <c r="E18">
        <v>179.49</v>
      </c>
      <c r="F18">
        <v>0</v>
      </c>
      <c r="G18">
        <v>0</v>
      </c>
      <c r="H18">
        <v>14334.38</v>
      </c>
      <c r="I18">
        <v>14513.87</v>
      </c>
      <c r="J18">
        <v>5394.75</v>
      </c>
      <c r="K18">
        <v>9717.14</v>
      </c>
      <c r="L18">
        <v>0</v>
      </c>
      <c r="M18">
        <v>0</v>
      </c>
      <c r="N18">
        <v>14513.87</v>
      </c>
    </row>
    <row r="20" spans="1:16" ht="13" x14ac:dyDescent="0.3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9397699.6999999993</v>
      </c>
      <c r="G20" s="4" t="s">
        <v>61</v>
      </c>
      <c r="H20" s="4" t="s">
        <v>62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6" ht="13" x14ac:dyDescent="0.3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319436.69</v>
      </c>
      <c r="G21" s="4" t="s">
        <v>63</v>
      </c>
      <c r="H21" s="4" t="s">
        <v>64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6" ht="13" x14ac:dyDescent="0.3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65</v>
      </c>
      <c r="H22" s="4" t="s">
        <v>66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6" ht="13" x14ac:dyDescent="0.3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319436.69</v>
      </c>
      <c r="G23" s="4" t="s">
        <v>67</v>
      </c>
      <c r="H23" s="4" t="s">
        <v>68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6" ht="13" x14ac:dyDescent="0.3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319436.69</v>
      </c>
      <c r="G24" s="4" t="s">
        <v>69</v>
      </c>
      <c r="H24" s="4" t="s">
        <v>70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6" ht="13" x14ac:dyDescent="0.3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71</v>
      </c>
      <c r="H25" s="4" t="s">
        <v>72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6" ht="13" x14ac:dyDescent="0.3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319436.69</v>
      </c>
      <c r="G26" s="4" t="s">
        <v>73</v>
      </c>
      <c r="H26" s="4" t="s">
        <v>74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6" ht="13" x14ac:dyDescent="0.3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75</v>
      </c>
      <c r="H27" s="4" t="s">
        <v>76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6" ht="13" x14ac:dyDescent="0.3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77</v>
      </c>
      <c r="H28" s="4" t="s">
        <v>78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6" ht="13" x14ac:dyDescent="0.3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79</v>
      </c>
      <c r="H29" s="4" t="s">
        <v>80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6" ht="13" x14ac:dyDescent="0.3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6541954.3499999996</v>
      </c>
      <c r="G30" s="4" t="s">
        <v>81</v>
      </c>
      <c r="H30" s="4" t="s">
        <v>82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6" ht="13" x14ac:dyDescent="0.3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83</v>
      </c>
      <c r="H31" s="4" t="s">
        <v>84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6" ht="13" x14ac:dyDescent="0.3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2858439.22</v>
      </c>
      <c r="G32" s="4" t="s">
        <v>85</v>
      </c>
      <c r="H32" s="4" t="s">
        <v>86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ht="13" x14ac:dyDescent="0.3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2536308.66</v>
      </c>
      <c r="G33" s="4" t="s">
        <v>87</v>
      </c>
      <c r="H33" s="4" t="s">
        <v>88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ht="13" x14ac:dyDescent="0.3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89</v>
      </c>
      <c r="H34" s="4" t="s">
        <v>90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ht="13" x14ac:dyDescent="0.3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179485.89</v>
      </c>
      <c r="G35" s="4" t="s">
        <v>91</v>
      </c>
      <c r="H35" s="4" t="s">
        <v>92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ht="13" x14ac:dyDescent="0.3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93</v>
      </c>
      <c r="H36" s="4" t="s">
        <v>94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ht="13" x14ac:dyDescent="0.3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14334375.1</v>
      </c>
      <c r="G37" s="4" t="s">
        <v>95</v>
      </c>
      <c r="H37" s="4" t="s">
        <v>96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ht="13" x14ac:dyDescent="0.3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97</v>
      </c>
      <c r="H38" s="4" t="s">
        <v>98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ht="13" x14ac:dyDescent="0.3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99</v>
      </c>
      <c r="H39" s="4" t="s">
        <v>100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ht="13" x14ac:dyDescent="0.3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6609.8240000000005</v>
      </c>
      <c r="G40" s="4" t="s">
        <v>101</v>
      </c>
      <c r="H40" s="4" t="s">
        <v>102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ht="13" x14ac:dyDescent="0.3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103</v>
      </c>
      <c r="H41" s="4" t="s">
        <v>104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ht="13" x14ac:dyDescent="0.3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105</v>
      </c>
      <c r="H42" s="4" t="s">
        <v>106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ht="13" x14ac:dyDescent="0.3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107</v>
      </c>
      <c r="H43" s="4" t="s">
        <v>108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ht="13" x14ac:dyDescent="0.3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1775416.06</v>
      </c>
      <c r="G44" s="4" t="s">
        <v>109</v>
      </c>
      <c r="H44" s="4" t="s">
        <v>110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ht="13" x14ac:dyDescent="0.3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253630.87</v>
      </c>
      <c r="G45" s="4" t="s">
        <v>111</v>
      </c>
      <c r="H45" s="4" t="s">
        <v>112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ht="13" x14ac:dyDescent="0.3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14513860.99</v>
      </c>
      <c r="G46" s="4" t="s">
        <v>113</v>
      </c>
      <c r="H46" s="4" t="s">
        <v>114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ht="13" x14ac:dyDescent="0.3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2902772.2</v>
      </c>
      <c r="G47" s="4" t="s">
        <v>3</v>
      </c>
      <c r="H47" s="4" t="s">
        <v>115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ht="13" x14ac:dyDescent="0.3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17416633.190000001</v>
      </c>
      <c r="G48" s="4" t="s">
        <v>3</v>
      </c>
      <c r="H48" s="4" t="s">
        <v>116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50" spans="1:15" x14ac:dyDescent="0.25">
      <c r="A50">
        <v>-1</v>
      </c>
    </row>
    <row r="53" spans="1:15" ht="13" x14ac:dyDescent="0.3">
      <c r="A53" s="3">
        <v>75</v>
      </c>
      <c r="B53" s="3" t="s">
        <v>117</v>
      </c>
      <c r="C53" s="3">
        <v>2025</v>
      </c>
      <c r="D53" s="3">
        <v>4</v>
      </c>
      <c r="E53" s="3">
        <v>0</v>
      </c>
      <c r="F53" s="3">
        <v>0</v>
      </c>
      <c r="G53" s="3">
        <v>0</v>
      </c>
      <c r="H53" s="3">
        <v>1</v>
      </c>
      <c r="I53" s="3">
        <v>0</v>
      </c>
      <c r="J53" s="3">
        <v>1</v>
      </c>
      <c r="K53" s="3">
        <v>78</v>
      </c>
      <c r="L53" s="3">
        <v>30</v>
      </c>
      <c r="M53" s="3">
        <v>0</v>
      </c>
      <c r="N53" s="3">
        <v>80891032</v>
      </c>
      <c r="O53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63BC7-3CF9-46F3-9E30-2DB8F9D05A1C}">
  <dimension ref="A1:DO17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119" x14ac:dyDescent="0.25">
      <c r="A1">
        <f>ROW(Source!A24)</f>
        <v>24</v>
      </c>
      <c r="B1">
        <v>80891032</v>
      </c>
      <c r="C1">
        <v>80891036</v>
      </c>
      <c r="D1">
        <v>80199986</v>
      </c>
      <c r="E1">
        <v>15514512</v>
      </c>
      <c r="F1">
        <v>1</v>
      </c>
      <c r="G1">
        <v>15514512</v>
      </c>
      <c r="H1">
        <v>1</v>
      </c>
      <c r="I1" t="s">
        <v>119</v>
      </c>
      <c r="J1" t="s">
        <v>3</v>
      </c>
      <c r="K1" t="s">
        <v>120</v>
      </c>
      <c r="L1">
        <v>1191</v>
      </c>
      <c r="N1">
        <v>1013</v>
      </c>
      <c r="O1" t="s">
        <v>121</v>
      </c>
      <c r="P1" t="s">
        <v>121</v>
      </c>
      <c r="Q1">
        <v>1</v>
      </c>
      <c r="W1">
        <v>0</v>
      </c>
      <c r="X1">
        <v>476480486</v>
      </c>
      <c r="Y1">
        <f t="shared" ref="Y1:Y7" si="0">((AT1*52)*2)</f>
        <v>72.8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0.7</v>
      </c>
      <c r="AU1" t="s">
        <v>18</v>
      </c>
      <c r="AV1">
        <v>1</v>
      </c>
      <c r="AW1">
        <v>2</v>
      </c>
      <c r="AX1">
        <v>80891037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ROUND(AT1*Source!I24*AH1*AL1,2)</f>
        <v>0</v>
      </c>
      <c r="CV1">
        <f>ROUND(Y1*Source!I24,9)</f>
        <v>1747.2</v>
      </c>
      <c r="CW1">
        <v>0</v>
      </c>
      <c r="CX1">
        <f>ROUND(Y1*Source!I24,9)</f>
        <v>1747.2</v>
      </c>
      <c r="CY1">
        <f>AD1</f>
        <v>0</v>
      </c>
      <c r="CZ1">
        <f>AH1</f>
        <v>0</v>
      </c>
      <c r="DA1">
        <f>AL1</f>
        <v>1</v>
      </c>
      <c r="DB1">
        <f t="shared" ref="DB1:DB7" si="1">ROUND(((ROUND(AT1*CZ1,2)*52)*2),6)</f>
        <v>0</v>
      </c>
      <c r="DC1">
        <f t="shared" ref="DC1:DC7" si="2">ROUND(((ROUND(AT1*AG1,2)*52)*2),6)</f>
        <v>0</v>
      </c>
      <c r="DD1" t="s">
        <v>3</v>
      </c>
      <c r="DE1" t="s">
        <v>3</v>
      </c>
      <c r="DF1">
        <f t="shared" ref="DF1:DF17" si="3">ROUND(ROUND(AE1,2)*CX1,2)</f>
        <v>0</v>
      </c>
      <c r="DG1">
        <f t="shared" ref="DG1:DG17" si="4">ROUND(ROUND(AF1,2)*CX1,2)</f>
        <v>0</v>
      </c>
      <c r="DH1">
        <f t="shared" ref="DH1:DH17" si="5">ROUND(ROUND(AG1,2)*CX1,2)</f>
        <v>0</v>
      </c>
      <c r="DI1">
        <f t="shared" ref="DI1:DI17" si="6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5">
      <c r="A2">
        <f>ROW(Source!A24)</f>
        <v>24</v>
      </c>
      <c r="B2">
        <v>80891032</v>
      </c>
      <c r="C2">
        <v>80891036</v>
      </c>
      <c r="D2">
        <v>80212982</v>
      </c>
      <c r="E2">
        <v>1</v>
      </c>
      <c r="F2">
        <v>1</v>
      </c>
      <c r="G2">
        <v>15514512</v>
      </c>
      <c r="H2">
        <v>2</v>
      </c>
      <c r="I2" t="s">
        <v>122</v>
      </c>
      <c r="J2" t="s">
        <v>123</v>
      </c>
      <c r="K2" t="s">
        <v>124</v>
      </c>
      <c r="L2">
        <v>1368</v>
      </c>
      <c r="N2">
        <v>1011</v>
      </c>
      <c r="O2" t="s">
        <v>125</v>
      </c>
      <c r="P2" t="s">
        <v>125</v>
      </c>
      <c r="Q2">
        <v>1</v>
      </c>
      <c r="W2">
        <v>0</v>
      </c>
      <c r="X2">
        <v>1542599647</v>
      </c>
      <c r="Y2">
        <f t="shared" si="0"/>
        <v>57.2</v>
      </c>
      <c r="AA2">
        <v>0</v>
      </c>
      <c r="AB2">
        <v>1609.58</v>
      </c>
      <c r="AC2">
        <v>824.95</v>
      </c>
      <c r="AD2">
        <v>0</v>
      </c>
      <c r="AE2">
        <v>0</v>
      </c>
      <c r="AF2">
        <v>1609.58</v>
      </c>
      <c r="AG2">
        <v>824.95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0.55000000000000004</v>
      </c>
      <c r="AU2" t="s">
        <v>18</v>
      </c>
      <c r="AV2">
        <v>0</v>
      </c>
      <c r="AW2">
        <v>2</v>
      </c>
      <c r="AX2">
        <v>80891038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ROUND(Y2*Source!I24*DO2,9)</f>
        <v>0</v>
      </c>
      <c r="CX2">
        <f>ROUND(Y2*Source!I24,9)</f>
        <v>1372.8</v>
      </c>
      <c r="CY2">
        <f>AB2</f>
        <v>1609.58</v>
      </c>
      <c r="CZ2">
        <f>AF2</f>
        <v>1609.58</v>
      </c>
      <c r="DA2">
        <f>AJ2</f>
        <v>1</v>
      </c>
      <c r="DB2">
        <f t="shared" si="1"/>
        <v>92068.08</v>
      </c>
      <c r="DC2">
        <f t="shared" si="2"/>
        <v>47186.879999999997</v>
      </c>
      <c r="DD2" t="s">
        <v>3</v>
      </c>
      <c r="DE2" t="s">
        <v>3</v>
      </c>
      <c r="DF2">
        <f t="shared" si="3"/>
        <v>0</v>
      </c>
      <c r="DG2">
        <f t="shared" si="4"/>
        <v>2209631.42</v>
      </c>
      <c r="DH2">
        <f t="shared" si="5"/>
        <v>1132491.3600000001</v>
      </c>
      <c r="DI2">
        <f t="shared" si="6"/>
        <v>0</v>
      </c>
      <c r="DJ2">
        <f>DG2</f>
        <v>2209631.42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5">
      <c r="A3">
        <f>ROW(Source!A24)</f>
        <v>24</v>
      </c>
      <c r="B3">
        <v>80891032</v>
      </c>
      <c r="C3">
        <v>80891036</v>
      </c>
      <c r="D3">
        <v>80212804</v>
      </c>
      <c r="E3">
        <v>1</v>
      </c>
      <c r="F3">
        <v>1</v>
      </c>
      <c r="G3">
        <v>15514512</v>
      </c>
      <c r="H3">
        <v>2</v>
      </c>
      <c r="I3" t="s">
        <v>126</v>
      </c>
      <c r="J3" t="s">
        <v>127</v>
      </c>
      <c r="K3" t="s">
        <v>128</v>
      </c>
      <c r="L3">
        <v>1368</v>
      </c>
      <c r="N3">
        <v>1011</v>
      </c>
      <c r="O3" t="s">
        <v>125</v>
      </c>
      <c r="P3" t="s">
        <v>125</v>
      </c>
      <c r="Q3">
        <v>1</v>
      </c>
      <c r="W3">
        <v>0</v>
      </c>
      <c r="X3">
        <v>-1317026834</v>
      </c>
      <c r="Y3">
        <f t="shared" si="0"/>
        <v>47.84</v>
      </c>
      <c r="AA3">
        <v>0</v>
      </c>
      <c r="AB3">
        <v>2533.12</v>
      </c>
      <c r="AC3">
        <v>1009.14</v>
      </c>
      <c r="AD3">
        <v>0</v>
      </c>
      <c r="AE3">
        <v>0</v>
      </c>
      <c r="AF3">
        <v>2533.12</v>
      </c>
      <c r="AG3">
        <v>1009.14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0.46</v>
      </c>
      <c r="AU3" t="s">
        <v>18</v>
      </c>
      <c r="AV3">
        <v>0</v>
      </c>
      <c r="AW3">
        <v>2</v>
      </c>
      <c r="AX3">
        <v>80891039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ROUND(Y3*Source!I24*DO3,9)</f>
        <v>0</v>
      </c>
      <c r="CX3">
        <f>ROUND(Y3*Source!I24,9)</f>
        <v>1148.1600000000001</v>
      </c>
      <c r="CY3">
        <f>AB3</f>
        <v>2533.12</v>
      </c>
      <c r="CZ3">
        <f>AF3</f>
        <v>2533.12</v>
      </c>
      <c r="DA3">
        <f>AJ3</f>
        <v>1</v>
      </c>
      <c r="DB3">
        <f t="shared" si="1"/>
        <v>121184.96000000001</v>
      </c>
      <c r="DC3">
        <f t="shared" si="2"/>
        <v>48276.800000000003</v>
      </c>
      <c r="DD3" t="s">
        <v>3</v>
      </c>
      <c r="DE3" t="s">
        <v>3</v>
      </c>
      <c r="DF3">
        <f t="shared" si="3"/>
        <v>0</v>
      </c>
      <c r="DG3">
        <f t="shared" si="4"/>
        <v>2908427.06</v>
      </c>
      <c r="DH3">
        <f t="shared" si="5"/>
        <v>1158654.18</v>
      </c>
      <c r="DI3">
        <f t="shared" si="6"/>
        <v>0</v>
      </c>
      <c r="DJ3">
        <f>DG3</f>
        <v>2908427.06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5">
      <c r="A4">
        <f>ROW(Source!A24)</f>
        <v>24</v>
      </c>
      <c r="B4">
        <v>80891032</v>
      </c>
      <c r="C4">
        <v>80891036</v>
      </c>
      <c r="D4">
        <v>80215470</v>
      </c>
      <c r="E4">
        <v>1</v>
      </c>
      <c r="F4">
        <v>1</v>
      </c>
      <c r="G4">
        <v>15514512</v>
      </c>
      <c r="H4">
        <v>3</v>
      </c>
      <c r="I4" t="s">
        <v>23</v>
      </c>
      <c r="J4" t="s">
        <v>26</v>
      </c>
      <c r="K4" t="s">
        <v>24</v>
      </c>
      <c r="L4">
        <v>1339</v>
      </c>
      <c r="N4">
        <v>1007</v>
      </c>
      <c r="O4" t="s">
        <v>25</v>
      </c>
      <c r="P4" t="s">
        <v>25</v>
      </c>
      <c r="Q4">
        <v>1</v>
      </c>
      <c r="W4">
        <v>1</v>
      </c>
      <c r="X4">
        <v>2112060389</v>
      </c>
      <c r="Y4">
        <f t="shared" si="0"/>
        <v>-104</v>
      </c>
      <c r="AA4">
        <v>54.81</v>
      </c>
      <c r="AB4">
        <v>0</v>
      </c>
      <c r="AC4">
        <v>0</v>
      </c>
      <c r="AD4">
        <v>0</v>
      </c>
      <c r="AE4">
        <v>54.81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-1</v>
      </c>
      <c r="AU4" t="s">
        <v>18</v>
      </c>
      <c r="AV4">
        <v>0</v>
      </c>
      <c r="AW4">
        <v>2</v>
      </c>
      <c r="AX4">
        <v>80891040</v>
      </c>
      <c r="AY4">
        <v>1</v>
      </c>
      <c r="AZ4">
        <v>6144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v>0</v>
      </c>
      <c r="CX4">
        <f>ROUND(Y4*Source!I24,9)</f>
        <v>-2496</v>
      </c>
      <c r="CY4">
        <f>AA4</f>
        <v>54.81</v>
      </c>
      <c r="CZ4">
        <f>AE4</f>
        <v>54.81</v>
      </c>
      <c r="DA4">
        <f>AI4</f>
        <v>1</v>
      </c>
      <c r="DB4">
        <f t="shared" si="1"/>
        <v>-5700.24</v>
      </c>
      <c r="DC4">
        <f t="shared" si="2"/>
        <v>0</v>
      </c>
      <c r="DD4" t="s">
        <v>3</v>
      </c>
      <c r="DE4" t="s">
        <v>3</v>
      </c>
      <c r="DF4">
        <f t="shared" si="3"/>
        <v>-136805.76000000001</v>
      </c>
      <c r="DG4">
        <f t="shared" si="4"/>
        <v>0</v>
      </c>
      <c r="DH4">
        <f t="shared" si="5"/>
        <v>0</v>
      </c>
      <c r="DI4">
        <f t="shared" si="6"/>
        <v>0</v>
      </c>
      <c r="DJ4">
        <f>DF4</f>
        <v>-136805.76000000001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5">
      <c r="A5">
        <f>ROW(Source!A26)</f>
        <v>26</v>
      </c>
      <c r="B5">
        <v>80891032</v>
      </c>
      <c r="C5">
        <v>80891041</v>
      </c>
      <c r="D5">
        <v>80199986</v>
      </c>
      <c r="E5">
        <v>15514512</v>
      </c>
      <c r="F5">
        <v>1</v>
      </c>
      <c r="G5">
        <v>15514512</v>
      </c>
      <c r="H5">
        <v>1</v>
      </c>
      <c r="I5" t="s">
        <v>119</v>
      </c>
      <c r="J5" t="s">
        <v>3</v>
      </c>
      <c r="K5" t="s">
        <v>120</v>
      </c>
      <c r="L5">
        <v>1191</v>
      </c>
      <c r="N5">
        <v>1013</v>
      </c>
      <c r="O5" t="s">
        <v>121</v>
      </c>
      <c r="P5" t="s">
        <v>121</v>
      </c>
      <c r="Q5">
        <v>1</v>
      </c>
      <c r="W5">
        <v>0</v>
      </c>
      <c r="X5">
        <v>476480486</v>
      </c>
      <c r="Y5">
        <f t="shared" si="0"/>
        <v>14.560000000000002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0.14000000000000001</v>
      </c>
      <c r="AU5" t="s">
        <v>18</v>
      </c>
      <c r="AV5">
        <v>1</v>
      </c>
      <c r="AW5">
        <v>2</v>
      </c>
      <c r="AX5">
        <v>80891042</v>
      </c>
      <c r="AY5">
        <v>1</v>
      </c>
      <c r="AZ5">
        <v>2048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U5">
        <f>ROUND(AT5*Source!I26*AH5*AL5,2)</f>
        <v>0</v>
      </c>
      <c r="CV5">
        <f>ROUND(Y5*Source!I26,9)</f>
        <v>349.44</v>
      </c>
      <c r="CW5">
        <v>0</v>
      </c>
      <c r="CX5">
        <f>ROUND(Y5*Source!I26,9)</f>
        <v>349.44</v>
      </c>
      <c r="CY5">
        <f>AD5</f>
        <v>0</v>
      </c>
      <c r="CZ5">
        <f>AH5</f>
        <v>0</v>
      </c>
      <c r="DA5">
        <f>AL5</f>
        <v>1</v>
      </c>
      <c r="DB5">
        <f t="shared" si="1"/>
        <v>0</v>
      </c>
      <c r="DC5">
        <f t="shared" si="2"/>
        <v>0</v>
      </c>
      <c r="DD5" t="s">
        <v>3</v>
      </c>
      <c r="DE5" t="s">
        <v>3</v>
      </c>
      <c r="DF5">
        <f t="shared" si="3"/>
        <v>0</v>
      </c>
      <c r="DG5">
        <f t="shared" si="4"/>
        <v>0</v>
      </c>
      <c r="DH5">
        <f t="shared" si="5"/>
        <v>0</v>
      </c>
      <c r="DI5">
        <f t="shared" si="6"/>
        <v>0</v>
      </c>
      <c r="DJ5">
        <f>DI5</f>
        <v>0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5">
      <c r="A6">
        <f>ROW(Source!A26)</f>
        <v>26</v>
      </c>
      <c r="B6">
        <v>80891032</v>
      </c>
      <c r="C6">
        <v>80891041</v>
      </c>
      <c r="D6">
        <v>80212804</v>
      </c>
      <c r="E6">
        <v>1</v>
      </c>
      <c r="F6">
        <v>1</v>
      </c>
      <c r="G6">
        <v>15514512</v>
      </c>
      <c r="H6">
        <v>2</v>
      </c>
      <c r="I6" t="s">
        <v>126</v>
      </c>
      <c r="J6" t="s">
        <v>127</v>
      </c>
      <c r="K6" t="s">
        <v>128</v>
      </c>
      <c r="L6">
        <v>1368</v>
      </c>
      <c r="N6">
        <v>1011</v>
      </c>
      <c r="O6" t="s">
        <v>125</v>
      </c>
      <c r="P6" t="s">
        <v>125</v>
      </c>
      <c r="Q6">
        <v>1</v>
      </c>
      <c r="W6">
        <v>0</v>
      </c>
      <c r="X6">
        <v>-1317026834</v>
      </c>
      <c r="Y6">
        <f t="shared" si="0"/>
        <v>22.88</v>
      </c>
      <c r="AA6">
        <v>0</v>
      </c>
      <c r="AB6">
        <v>2533.12</v>
      </c>
      <c r="AC6">
        <v>1009.14</v>
      </c>
      <c r="AD6">
        <v>0</v>
      </c>
      <c r="AE6">
        <v>0</v>
      </c>
      <c r="AF6">
        <v>2533.12</v>
      </c>
      <c r="AG6">
        <v>1009.14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0.22</v>
      </c>
      <c r="AU6" t="s">
        <v>18</v>
      </c>
      <c r="AV6">
        <v>0</v>
      </c>
      <c r="AW6">
        <v>2</v>
      </c>
      <c r="AX6">
        <v>80891043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f>ROUND(Y6*Source!I26*DO6,9)</f>
        <v>0</v>
      </c>
      <c r="CX6">
        <f>ROUND(Y6*Source!I26,9)</f>
        <v>549.12</v>
      </c>
      <c r="CY6">
        <f>AB6</f>
        <v>2533.12</v>
      </c>
      <c r="CZ6">
        <f>AF6</f>
        <v>2533.12</v>
      </c>
      <c r="DA6">
        <f>AJ6</f>
        <v>1</v>
      </c>
      <c r="DB6">
        <f t="shared" si="1"/>
        <v>57958.16</v>
      </c>
      <c r="DC6">
        <f t="shared" si="2"/>
        <v>23089.040000000001</v>
      </c>
      <c r="DD6" t="s">
        <v>3</v>
      </c>
      <c r="DE6" t="s">
        <v>3</v>
      </c>
      <c r="DF6">
        <f t="shared" si="3"/>
        <v>0</v>
      </c>
      <c r="DG6">
        <f t="shared" si="4"/>
        <v>1390986.85</v>
      </c>
      <c r="DH6">
        <f t="shared" si="5"/>
        <v>554138.96</v>
      </c>
      <c r="DI6">
        <f t="shared" si="6"/>
        <v>0</v>
      </c>
      <c r="DJ6">
        <f>DG6</f>
        <v>1390986.85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5">
      <c r="A7">
        <f>ROW(Source!A26)</f>
        <v>26</v>
      </c>
      <c r="B7">
        <v>80891032</v>
      </c>
      <c r="C7">
        <v>80891041</v>
      </c>
      <c r="D7">
        <v>80215470</v>
      </c>
      <c r="E7">
        <v>1</v>
      </c>
      <c r="F7">
        <v>1</v>
      </c>
      <c r="G7">
        <v>15514512</v>
      </c>
      <c r="H7">
        <v>3</v>
      </c>
      <c r="I7" t="s">
        <v>23</v>
      </c>
      <c r="J7" t="s">
        <v>26</v>
      </c>
      <c r="K7" t="s">
        <v>24</v>
      </c>
      <c r="L7">
        <v>1339</v>
      </c>
      <c r="N7">
        <v>1007</v>
      </c>
      <c r="O7" t="s">
        <v>25</v>
      </c>
      <c r="P7" t="s">
        <v>25</v>
      </c>
      <c r="Q7">
        <v>1</v>
      </c>
      <c r="W7">
        <v>1</v>
      </c>
      <c r="X7">
        <v>2112060389</v>
      </c>
      <c r="Y7">
        <f t="shared" si="0"/>
        <v>-208</v>
      </c>
      <c r="AA7">
        <v>54.81</v>
      </c>
      <c r="AB7">
        <v>0</v>
      </c>
      <c r="AC7">
        <v>0</v>
      </c>
      <c r="AD7">
        <v>0</v>
      </c>
      <c r="AE7">
        <v>54.81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-2</v>
      </c>
      <c r="AU7" t="s">
        <v>18</v>
      </c>
      <c r="AV7">
        <v>0</v>
      </c>
      <c r="AW7">
        <v>2</v>
      </c>
      <c r="AX7">
        <v>80891044</v>
      </c>
      <c r="AY7">
        <v>1</v>
      </c>
      <c r="AZ7">
        <v>6144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ROUND(Y7*Source!I26,9)</f>
        <v>-4992</v>
      </c>
      <c r="CY7">
        <f>AA7</f>
        <v>54.81</v>
      </c>
      <c r="CZ7">
        <f>AE7</f>
        <v>54.81</v>
      </c>
      <c r="DA7">
        <f>AI7</f>
        <v>1</v>
      </c>
      <c r="DB7">
        <f t="shared" si="1"/>
        <v>-11400.48</v>
      </c>
      <c r="DC7">
        <f t="shared" si="2"/>
        <v>0</v>
      </c>
      <c r="DD7" t="s">
        <v>3</v>
      </c>
      <c r="DE7" t="s">
        <v>3</v>
      </c>
      <c r="DF7">
        <f t="shared" si="3"/>
        <v>-273611.52000000002</v>
      </c>
      <c r="DG7">
        <f t="shared" si="4"/>
        <v>0</v>
      </c>
      <c r="DH7">
        <f t="shared" si="5"/>
        <v>0</v>
      </c>
      <c r="DI7">
        <f t="shared" si="6"/>
        <v>0</v>
      </c>
      <c r="DJ7">
        <f>DF7</f>
        <v>-273611.52000000002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5">
      <c r="A8">
        <f>ROW(Source!A28)</f>
        <v>28</v>
      </c>
      <c r="B8">
        <v>80891032</v>
      </c>
      <c r="C8">
        <v>80891046</v>
      </c>
      <c r="D8">
        <v>80199986</v>
      </c>
      <c r="E8">
        <v>15514512</v>
      </c>
      <c r="F8">
        <v>1</v>
      </c>
      <c r="G8">
        <v>15514512</v>
      </c>
      <c r="H8">
        <v>1</v>
      </c>
      <c r="I8" t="s">
        <v>119</v>
      </c>
      <c r="J8" t="s">
        <v>3</v>
      </c>
      <c r="K8" t="s">
        <v>120</v>
      </c>
      <c r="L8">
        <v>1191</v>
      </c>
      <c r="N8">
        <v>1013</v>
      </c>
      <c r="O8" t="s">
        <v>121</v>
      </c>
      <c r="P8" t="s">
        <v>121</v>
      </c>
      <c r="Q8">
        <v>1</v>
      </c>
      <c r="W8">
        <v>0</v>
      </c>
      <c r="X8">
        <v>476480486</v>
      </c>
      <c r="Y8">
        <f>((AT8*52)*5)</f>
        <v>187.2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0.72</v>
      </c>
      <c r="AU8" t="s">
        <v>36</v>
      </c>
      <c r="AV8">
        <v>1</v>
      </c>
      <c r="AW8">
        <v>2</v>
      </c>
      <c r="AX8">
        <v>80891047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U8">
        <f>ROUND(AT8*Source!I28*AH8*AL8,2)</f>
        <v>0</v>
      </c>
      <c r="CV8">
        <f>ROUND(Y8*Source!I28,9)</f>
        <v>4492.8</v>
      </c>
      <c r="CW8">
        <v>0</v>
      </c>
      <c r="CX8">
        <f>ROUND(Y8*Source!I28,9)</f>
        <v>4492.8</v>
      </c>
      <c r="CY8">
        <f>AD8</f>
        <v>0</v>
      </c>
      <c r="CZ8">
        <f>AH8</f>
        <v>0</v>
      </c>
      <c r="DA8">
        <f>AL8</f>
        <v>1</v>
      </c>
      <c r="DB8">
        <f>ROUND(((ROUND(AT8*CZ8,2)*52)*5),6)</f>
        <v>0</v>
      </c>
      <c r="DC8">
        <f>ROUND(((ROUND(AT8*AG8,2)*52)*5),6)</f>
        <v>0</v>
      </c>
      <c r="DD8" t="s">
        <v>3</v>
      </c>
      <c r="DE8" t="s">
        <v>3</v>
      </c>
      <c r="DF8">
        <f t="shared" si="3"/>
        <v>0</v>
      </c>
      <c r="DG8">
        <f t="shared" si="4"/>
        <v>0</v>
      </c>
      <c r="DH8">
        <f t="shared" si="5"/>
        <v>0</v>
      </c>
      <c r="DI8">
        <f t="shared" si="6"/>
        <v>0</v>
      </c>
      <c r="DJ8">
        <f>DI8</f>
        <v>0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5">
      <c r="A9">
        <f>ROW(Source!A28)</f>
        <v>28</v>
      </c>
      <c r="B9">
        <v>80891032</v>
      </c>
      <c r="C9">
        <v>80891046</v>
      </c>
      <c r="D9">
        <v>80215385</v>
      </c>
      <c r="E9">
        <v>1</v>
      </c>
      <c r="F9">
        <v>1</v>
      </c>
      <c r="G9">
        <v>15514512</v>
      </c>
      <c r="H9">
        <v>3</v>
      </c>
      <c r="I9" t="s">
        <v>129</v>
      </c>
      <c r="J9" t="s">
        <v>130</v>
      </c>
      <c r="K9" t="s">
        <v>131</v>
      </c>
      <c r="L9">
        <v>1296</v>
      </c>
      <c r="N9">
        <v>1002</v>
      </c>
      <c r="O9" t="s">
        <v>47</v>
      </c>
      <c r="P9" t="s">
        <v>47</v>
      </c>
      <c r="Q9">
        <v>1</v>
      </c>
      <c r="W9">
        <v>0</v>
      </c>
      <c r="X9">
        <v>1795167498</v>
      </c>
      <c r="Y9">
        <f>((AT9*52)*5)</f>
        <v>10.4</v>
      </c>
      <c r="AA9">
        <v>111.42</v>
      </c>
      <c r="AB9">
        <v>0</v>
      </c>
      <c r="AC9">
        <v>0</v>
      </c>
      <c r="AD9">
        <v>0</v>
      </c>
      <c r="AE9">
        <v>111.42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0.04</v>
      </c>
      <c r="AU9" t="s">
        <v>36</v>
      </c>
      <c r="AV9">
        <v>0</v>
      </c>
      <c r="AW9">
        <v>2</v>
      </c>
      <c r="AX9">
        <v>80891048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v>0</v>
      </c>
      <c r="CX9">
        <f>ROUND(Y9*Source!I28,9)</f>
        <v>249.6</v>
      </c>
      <c r="CY9">
        <f>AA9</f>
        <v>111.42</v>
      </c>
      <c r="CZ9">
        <f>AE9</f>
        <v>111.42</v>
      </c>
      <c r="DA9">
        <f>AI9</f>
        <v>1</v>
      </c>
      <c r="DB9">
        <f>ROUND(((ROUND(AT9*CZ9,2)*52)*5),6)</f>
        <v>1159.5999999999999</v>
      </c>
      <c r="DC9">
        <f>ROUND(((ROUND(AT9*AG9,2)*52)*5),6)</f>
        <v>0</v>
      </c>
      <c r="DD9" t="s">
        <v>3</v>
      </c>
      <c r="DE9" t="s">
        <v>3</v>
      </c>
      <c r="DF9">
        <f t="shared" si="3"/>
        <v>27810.43</v>
      </c>
      <c r="DG9">
        <f t="shared" si="4"/>
        <v>0</v>
      </c>
      <c r="DH9">
        <f t="shared" si="5"/>
        <v>0</v>
      </c>
      <c r="DI9">
        <f t="shared" si="6"/>
        <v>0</v>
      </c>
      <c r="DJ9">
        <f>DF9</f>
        <v>27810.43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5">
      <c r="A10">
        <f>ROW(Source!A28)</f>
        <v>28</v>
      </c>
      <c r="B10">
        <v>80891032</v>
      </c>
      <c r="C10">
        <v>80891046</v>
      </c>
      <c r="D10">
        <v>80215411</v>
      </c>
      <c r="E10">
        <v>1</v>
      </c>
      <c r="F10">
        <v>1</v>
      </c>
      <c r="G10">
        <v>15514512</v>
      </c>
      <c r="H10">
        <v>3</v>
      </c>
      <c r="I10" t="s">
        <v>132</v>
      </c>
      <c r="J10" t="s">
        <v>133</v>
      </c>
      <c r="K10" t="s">
        <v>134</v>
      </c>
      <c r="L10">
        <v>1296</v>
      </c>
      <c r="N10">
        <v>1002</v>
      </c>
      <c r="O10" t="s">
        <v>47</v>
      </c>
      <c r="P10" t="s">
        <v>47</v>
      </c>
      <c r="Q10">
        <v>1</v>
      </c>
      <c r="W10">
        <v>0</v>
      </c>
      <c r="X10">
        <v>1410440587</v>
      </c>
      <c r="Y10">
        <f>((AT10*52)*5)</f>
        <v>7.8000000000000007</v>
      </c>
      <c r="AA10">
        <v>420.12</v>
      </c>
      <c r="AB10">
        <v>0</v>
      </c>
      <c r="AC10">
        <v>0</v>
      </c>
      <c r="AD10">
        <v>0</v>
      </c>
      <c r="AE10">
        <v>420.12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0.03</v>
      </c>
      <c r="AU10" t="s">
        <v>36</v>
      </c>
      <c r="AV10">
        <v>0</v>
      </c>
      <c r="AW10">
        <v>2</v>
      </c>
      <c r="AX10">
        <v>80891049</v>
      </c>
      <c r="AY10">
        <v>1</v>
      </c>
      <c r="AZ10">
        <v>2048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ROUND(Y10*Source!I28,9)</f>
        <v>187.2</v>
      </c>
      <c r="CY10">
        <f>AA10</f>
        <v>420.12</v>
      </c>
      <c r="CZ10">
        <f>AE10</f>
        <v>420.12</v>
      </c>
      <c r="DA10">
        <f>AI10</f>
        <v>1</v>
      </c>
      <c r="DB10">
        <f>ROUND(((ROUND(AT10*CZ10,2)*52)*5),6)</f>
        <v>3276</v>
      </c>
      <c r="DC10">
        <f>ROUND(((ROUND(AT10*AG10,2)*52)*5),6)</f>
        <v>0</v>
      </c>
      <c r="DD10" t="s">
        <v>3</v>
      </c>
      <c r="DE10" t="s">
        <v>3</v>
      </c>
      <c r="DF10">
        <f t="shared" si="3"/>
        <v>78646.460000000006</v>
      </c>
      <c r="DG10">
        <f t="shared" si="4"/>
        <v>0</v>
      </c>
      <c r="DH10">
        <f t="shared" si="5"/>
        <v>0</v>
      </c>
      <c r="DI10">
        <f t="shared" si="6"/>
        <v>0</v>
      </c>
      <c r="DJ10">
        <f>DF10</f>
        <v>78646.460000000006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5">
      <c r="A11">
        <f>ROW(Source!A28)</f>
        <v>28</v>
      </c>
      <c r="B11">
        <v>80891032</v>
      </c>
      <c r="C11">
        <v>80891046</v>
      </c>
      <c r="D11">
        <v>80215470</v>
      </c>
      <c r="E11">
        <v>1</v>
      </c>
      <c r="F11">
        <v>1</v>
      </c>
      <c r="G11">
        <v>15514512</v>
      </c>
      <c r="H11">
        <v>3</v>
      </c>
      <c r="I11" t="s">
        <v>23</v>
      </c>
      <c r="J11" t="s">
        <v>26</v>
      </c>
      <c r="K11" t="s">
        <v>24</v>
      </c>
      <c r="L11">
        <v>1339</v>
      </c>
      <c r="N11">
        <v>1007</v>
      </c>
      <c r="O11" t="s">
        <v>25</v>
      </c>
      <c r="P11" t="s">
        <v>25</v>
      </c>
      <c r="Q11">
        <v>1</v>
      </c>
      <c r="W11">
        <v>1</v>
      </c>
      <c r="X11">
        <v>2112060389</v>
      </c>
      <c r="Y11">
        <f>((AT11*52)*5)</f>
        <v>-7.8000000000000007</v>
      </c>
      <c r="AA11">
        <v>54.81</v>
      </c>
      <c r="AB11">
        <v>0</v>
      </c>
      <c r="AC11">
        <v>0</v>
      </c>
      <c r="AD11">
        <v>0</v>
      </c>
      <c r="AE11">
        <v>54.81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-0.03</v>
      </c>
      <c r="AU11" t="s">
        <v>36</v>
      </c>
      <c r="AV11">
        <v>0</v>
      </c>
      <c r="AW11">
        <v>2</v>
      </c>
      <c r="AX11">
        <v>80891050</v>
      </c>
      <c r="AY11">
        <v>1</v>
      </c>
      <c r="AZ11">
        <v>6144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ROUND(Y11*Source!I28,9)</f>
        <v>-187.2</v>
      </c>
      <c r="CY11">
        <f>AA11</f>
        <v>54.81</v>
      </c>
      <c r="CZ11">
        <f>AE11</f>
        <v>54.81</v>
      </c>
      <c r="DA11">
        <f>AI11</f>
        <v>1</v>
      </c>
      <c r="DB11">
        <f>ROUND(((ROUND(AT11*CZ11,2)*52)*5),6)</f>
        <v>-426.4</v>
      </c>
      <c r="DC11">
        <f>ROUND(((ROUND(AT11*AG11,2)*52)*5),6)</f>
        <v>0</v>
      </c>
      <c r="DD11" t="s">
        <v>3</v>
      </c>
      <c r="DE11" t="s">
        <v>3</v>
      </c>
      <c r="DF11">
        <f t="shared" si="3"/>
        <v>-10260.43</v>
      </c>
      <c r="DG11">
        <f t="shared" si="4"/>
        <v>0</v>
      </c>
      <c r="DH11">
        <f t="shared" si="5"/>
        <v>0</v>
      </c>
      <c r="DI11">
        <f t="shared" si="6"/>
        <v>0</v>
      </c>
      <c r="DJ11">
        <f>DF11</f>
        <v>-10260.43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5">
      <c r="A12">
        <f>ROW(Source!A28)</f>
        <v>28</v>
      </c>
      <c r="B12">
        <v>80891032</v>
      </c>
      <c r="C12">
        <v>80891046</v>
      </c>
      <c r="D12">
        <v>80215859</v>
      </c>
      <c r="E12">
        <v>1</v>
      </c>
      <c r="F12">
        <v>1</v>
      </c>
      <c r="G12">
        <v>15514512</v>
      </c>
      <c r="H12">
        <v>3</v>
      </c>
      <c r="I12" t="s">
        <v>135</v>
      </c>
      <c r="J12" t="s">
        <v>136</v>
      </c>
      <c r="K12" t="s">
        <v>137</v>
      </c>
      <c r="L12">
        <v>1354</v>
      </c>
      <c r="N12">
        <v>1010</v>
      </c>
      <c r="O12" t="s">
        <v>41</v>
      </c>
      <c r="P12" t="s">
        <v>41</v>
      </c>
      <c r="Q12">
        <v>1</v>
      </c>
      <c r="W12">
        <v>0</v>
      </c>
      <c r="X12">
        <v>-862689443</v>
      </c>
      <c r="Y12">
        <f>((AT12*52)*5)</f>
        <v>520</v>
      </c>
      <c r="AA12">
        <v>2.12</v>
      </c>
      <c r="AB12">
        <v>0</v>
      </c>
      <c r="AC12">
        <v>0</v>
      </c>
      <c r="AD12">
        <v>0</v>
      </c>
      <c r="AE12">
        <v>2.12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2</v>
      </c>
      <c r="AU12" t="s">
        <v>36</v>
      </c>
      <c r="AV12">
        <v>0</v>
      </c>
      <c r="AW12">
        <v>2</v>
      </c>
      <c r="AX12">
        <v>80891051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ROUND(Y12*Source!I28,9)</f>
        <v>12480</v>
      </c>
      <c r="CY12">
        <f>AA12</f>
        <v>2.12</v>
      </c>
      <c r="CZ12">
        <f>AE12</f>
        <v>2.12</v>
      </c>
      <c r="DA12">
        <f>AI12</f>
        <v>1</v>
      </c>
      <c r="DB12">
        <f>ROUND(((ROUND(AT12*CZ12,2)*52)*5),6)</f>
        <v>1102.4000000000001</v>
      </c>
      <c r="DC12">
        <f>ROUND(((ROUND(AT12*AG12,2)*52)*5),6)</f>
        <v>0</v>
      </c>
      <c r="DD12" t="s">
        <v>3</v>
      </c>
      <c r="DE12" t="s">
        <v>3</v>
      </c>
      <c r="DF12">
        <f t="shared" si="3"/>
        <v>26457.599999999999</v>
      </c>
      <c r="DG12">
        <f t="shared" si="4"/>
        <v>0</v>
      </c>
      <c r="DH12">
        <f t="shared" si="5"/>
        <v>0</v>
      </c>
      <c r="DI12">
        <f t="shared" si="6"/>
        <v>0</v>
      </c>
      <c r="DJ12">
        <f>DF12</f>
        <v>26457.599999999999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5">
      <c r="A13">
        <f>ROW(Source!A30)</f>
        <v>30</v>
      </c>
      <c r="B13">
        <v>80891032</v>
      </c>
      <c r="C13">
        <v>80892443</v>
      </c>
      <c r="D13">
        <v>80199986</v>
      </c>
      <c r="E13">
        <v>15514512</v>
      </c>
      <c r="F13">
        <v>1</v>
      </c>
      <c r="G13">
        <v>15514512</v>
      </c>
      <c r="H13">
        <v>1</v>
      </c>
      <c r="I13" t="s">
        <v>119</v>
      </c>
      <c r="J13" t="s">
        <v>3</v>
      </c>
      <c r="K13" t="s">
        <v>120</v>
      </c>
      <c r="L13">
        <v>1191</v>
      </c>
      <c r="N13">
        <v>1013</v>
      </c>
      <c r="O13" t="s">
        <v>121</v>
      </c>
      <c r="P13" t="s">
        <v>121</v>
      </c>
      <c r="Q13">
        <v>1</v>
      </c>
      <c r="W13">
        <v>0</v>
      </c>
      <c r="X13">
        <v>476480486</v>
      </c>
      <c r="Y13">
        <f>(AT13*26)</f>
        <v>7.2800000000000011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0.28000000000000003</v>
      </c>
      <c r="AU13" t="s">
        <v>43</v>
      </c>
      <c r="AV13">
        <v>1</v>
      </c>
      <c r="AW13">
        <v>2</v>
      </c>
      <c r="AX13">
        <v>80892444</v>
      </c>
      <c r="AY13">
        <v>1</v>
      </c>
      <c r="AZ13">
        <v>2048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U13">
        <f>ROUND(AT13*Source!I30*AH13*AL13,2)</f>
        <v>0</v>
      </c>
      <c r="CV13">
        <f>ROUND(Y13*Source!I30,9)</f>
        <v>14.56</v>
      </c>
      <c r="CW13">
        <v>0</v>
      </c>
      <c r="CX13">
        <f>ROUND(Y13*Source!I30,9)</f>
        <v>14.56</v>
      </c>
      <c r="CY13">
        <f>AD13</f>
        <v>0</v>
      </c>
      <c r="CZ13">
        <f>AH13</f>
        <v>0</v>
      </c>
      <c r="DA13">
        <f>AL13</f>
        <v>1</v>
      </c>
      <c r="DB13">
        <f>ROUND((ROUND(AT13*CZ13,2)*26),6)</f>
        <v>0</v>
      </c>
      <c r="DC13">
        <f>ROUND((ROUND(AT13*AG13,2)*26),6)</f>
        <v>0</v>
      </c>
      <c r="DD13" t="s">
        <v>3</v>
      </c>
      <c r="DE13" t="s">
        <v>3</v>
      </c>
      <c r="DF13">
        <f t="shared" si="3"/>
        <v>0</v>
      </c>
      <c r="DG13">
        <f t="shared" si="4"/>
        <v>0</v>
      </c>
      <c r="DH13">
        <f t="shared" si="5"/>
        <v>0</v>
      </c>
      <c r="DI13">
        <f t="shared" si="6"/>
        <v>0</v>
      </c>
      <c r="DJ13">
        <f>DI13</f>
        <v>0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5">
      <c r="A14">
        <f>ROW(Source!A30)</f>
        <v>30</v>
      </c>
      <c r="B14">
        <v>80891032</v>
      </c>
      <c r="C14">
        <v>80892443</v>
      </c>
      <c r="D14">
        <v>80212966</v>
      </c>
      <c r="E14">
        <v>1</v>
      </c>
      <c r="F14">
        <v>1</v>
      </c>
      <c r="G14">
        <v>15514512</v>
      </c>
      <c r="H14">
        <v>2</v>
      </c>
      <c r="I14" t="s">
        <v>138</v>
      </c>
      <c r="J14" t="s">
        <v>139</v>
      </c>
      <c r="K14" t="s">
        <v>140</v>
      </c>
      <c r="L14">
        <v>1368</v>
      </c>
      <c r="N14">
        <v>1011</v>
      </c>
      <c r="O14" t="s">
        <v>125</v>
      </c>
      <c r="P14" t="s">
        <v>125</v>
      </c>
      <c r="Q14">
        <v>1</v>
      </c>
      <c r="W14">
        <v>0</v>
      </c>
      <c r="X14">
        <v>-488503217</v>
      </c>
      <c r="Y14">
        <f>(AT14*26)</f>
        <v>4.42</v>
      </c>
      <c r="AA14">
        <v>0</v>
      </c>
      <c r="AB14">
        <v>2424.88</v>
      </c>
      <c r="AC14">
        <v>968.84</v>
      </c>
      <c r="AD14">
        <v>0</v>
      </c>
      <c r="AE14">
        <v>0</v>
      </c>
      <c r="AF14">
        <v>2424.88</v>
      </c>
      <c r="AG14">
        <v>968.84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0.17</v>
      </c>
      <c r="AU14" t="s">
        <v>43</v>
      </c>
      <c r="AV14">
        <v>0</v>
      </c>
      <c r="AW14">
        <v>2</v>
      </c>
      <c r="AX14">
        <v>80892445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f>ROUND(Y14*Source!I30*DO14,9)</f>
        <v>0</v>
      </c>
      <c r="CX14">
        <f>ROUND(Y14*Source!I30,9)</f>
        <v>8.84</v>
      </c>
      <c r="CY14">
        <f>AB14</f>
        <v>2424.88</v>
      </c>
      <c r="CZ14">
        <f>AF14</f>
        <v>2424.88</v>
      </c>
      <c r="DA14">
        <f>AJ14</f>
        <v>1</v>
      </c>
      <c r="DB14">
        <f>ROUND((ROUND(AT14*CZ14,2)*26),6)</f>
        <v>10717.98</v>
      </c>
      <c r="DC14">
        <f>ROUND((ROUND(AT14*AG14,2)*26),6)</f>
        <v>4282.2</v>
      </c>
      <c r="DD14" t="s">
        <v>3</v>
      </c>
      <c r="DE14" t="s">
        <v>3</v>
      </c>
      <c r="DF14">
        <f t="shared" si="3"/>
        <v>0</v>
      </c>
      <c r="DG14">
        <f t="shared" si="4"/>
        <v>21435.94</v>
      </c>
      <c r="DH14">
        <f t="shared" si="5"/>
        <v>8564.5499999999993</v>
      </c>
      <c r="DI14">
        <f t="shared" si="6"/>
        <v>0</v>
      </c>
      <c r="DJ14">
        <f>DG14</f>
        <v>21435.94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5">
      <c r="A15">
        <f>ROW(Source!A30)</f>
        <v>30</v>
      </c>
      <c r="B15">
        <v>80891032</v>
      </c>
      <c r="C15">
        <v>80892443</v>
      </c>
      <c r="D15">
        <v>80215455</v>
      </c>
      <c r="E15">
        <v>1</v>
      </c>
      <c r="F15">
        <v>1</v>
      </c>
      <c r="G15">
        <v>15514512</v>
      </c>
      <c r="H15">
        <v>3</v>
      </c>
      <c r="I15" t="s">
        <v>45</v>
      </c>
      <c r="J15" t="s">
        <v>48</v>
      </c>
      <c r="K15" t="s">
        <v>46</v>
      </c>
      <c r="L15">
        <v>1296</v>
      </c>
      <c r="N15">
        <v>1002</v>
      </c>
      <c r="O15" t="s">
        <v>47</v>
      </c>
      <c r="P15" t="s">
        <v>47</v>
      </c>
      <c r="Q15">
        <v>1</v>
      </c>
      <c r="W15">
        <v>0</v>
      </c>
      <c r="X15">
        <v>-2011220865</v>
      </c>
      <c r="Y15">
        <f>AT15</f>
        <v>6.5</v>
      </c>
      <c r="AA15">
        <v>543.51</v>
      </c>
      <c r="AB15">
        <v>0</v>
      </c>
      <c r="AC15">
        <v>0</v>
      </c>
      <c r="AD15">
        <v>0</v>
      </c>
      <c r="AE15">
        <v>543.51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0</v>
      </c>
      <c r="AN15">
        <v>0</v>
      </c>
      <c r="AO15">
        <v>0</v>
      </c>
      <c r="AP15">
        <v>1</v>
      </c>
      <c r="AQ15">
        <v>0</v>
      </c>
      <c r="AR15">
        <v>0</v>
      </c>
      <c r="AS15" t="s">
        <v>3</v>
      </c>
      <c r="AT15">
        <v>6.5</v>
      </c>
      <c r="AU15" t="s">
        <v>3</v>
      </c>
      <c r="AV15">
        <v>0</v>
      </c>
      <c r="AW15">
        <v>1</v>
      </c>
      <c r="AX15">
        <v>-1</v>
      </c>
      <c r="AY15">
        <v>0</v>
      </c>
      <c r="AZ15">
        <v>0</v>
      </c>
      <c r="BA15" t="s">
        <v>3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ROUND(Y15*Source!I30,9)</f>
        <v>13</v>
      </c>
      <c r="CY15">
        <f>AA15</f>
        <v>543.51</v>
      </c>
      <c r="CZ15">
        <f>AE15</f>
        <v>543.51</v>
      </c>
      <c r="DA15">
        <f>AI15</f>
        <v>1</v>
      </c>
      <c r="DB15">
        <f>ROUND(ROUND(AT15*CZ15,2),6)</f>
        <v>3532.82</v>
      </c>
      <c r="DC15">
        <f>ROUND(ROUND(AT15*AG15,2),6)</f>
        <v>0</v>
      </c>
      <c r="DD15" t="s">
        <v>3</v>
      </c>
      <c r="DE15" t="s">
        <v>3</v>
      </c>
      <c r="DF15">
        <f t="shared" si="3"/>
        <v>7065.63</v>
      </c>
      <c r="DG15">
        <f t="shared" si="4"/>
        <v>0</v>
      </c>
      <c r="DH15">
        <f t="shared" si="5"/>
        <v>0</v>
      </c>
      <c r="DI15">
        <f t="shared" si="6"/>
        <v>0</v>
      </c>
      <c r="DJ15">
        <f>DF15</f>
        <v>7065.63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5">
      <c r="A16">
        <f>ROW(Source!A32)</f>
        <v>32</v>
      </c>
      <c r="B16">
        <v>80891032</v>
      </c>
      <c r="C16">
        <v>80892450</v>
      </c>
      <c r="D16">
        <v>80199986</v>
      </c>
      <c r="E16">
        <v>15514512</v>
      </c>
      <c r="F16">
        <v>1</v>
      </c>
      <c r="G16">
        <v>15514512</v>
      </c>
      <c r="H16">
        <v>1</v>
      </c>
      <c r="I16" t="s">
        <v>119</v>
      </c>
      <c r="J16" t="s">
        <v>3</v>
      </c>
      <c r="K16" t="s">
        <v>120</v>
      </c>
      <c r="L16">
        <v>1191</v>
      </c>
      <c r="N16">
        <v>1013</v>
      </c>
      <c r="O16" t="s">
        <v>121</v>
      </c>
      <c r="P16" t="s">
        <v>121</v>
      </c>
      <c r="Q16">
        <v>1</v>
      </c>
      <c r="W16">
        <v>0</v>
      </c>
      <c r="X16">
        <v>476480486</v>
      </c>
      <c r="Y16">
        <f>(AT16*26)</f>
        <v>8.32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0.32</v>
      </c>
      <c r="AU16" t="s">
        <v>43</v>
      </c>
      <c r="AV16">
        <v>1</v>
      </c>
      <c r="AW16">
        <v>2</v>
      </c>
      <c r="AX16">
        <v>80892451</v>
      </c>
      <c r="AY16">
        <v>1</v>
      </c>
      <c r="AZ16">
        <v>0</v>
      </c>
      <c r="BA16">
        <v>17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U16">
        <f>ROUND(AT16*Source!I32*AH16*AL16,2)</f>
        <v>0</v>
      </c>
      <c r="CV16">
        <f>ROUND(Y16*Source!I32,9)</f>
        <v>5.8239999999999998</v>
      </c>
      <c r="CW16">
        <v>0</v>
      </c>
      <c r="CX16">
        <f>ROUND(Y16*Source!I32,9)</f>
        <v>5.8239999999999998</v>
      </c>
      <c r="CY16">
        <f>AD16</f>
        <v>0</v>
      </c>
      <c r="CZ16">
        <f>AH16</f>
        <v>0</v>
      </c>
      <c r="DA16">
        <f>AL16</f>
        <v>1</v>
      </c>
      <c r="DB16">
        <f>ROUND((ROUND(AT16*CZ16,2)*26),6)</f>
        <v>0</v>
      </c>
      <c r="DC16">
        <f>ROUND((ROUND(AT16*AG16,2)*26),6)</f>
        <v>0</v>
      </c>
      <c r="DD16" t="s">
        <v>3</v>
      </c>
      <c r="DE16" t="s">
        <v>3</v>
      </c>
      <c r="DF16">
        <f t="shared" si="3"/>
        <v>0</v>
      </c>
      <c r="DG16">
        <f t="shared" si="4"/>
        <v>0</v>
      </c>
      <c r="DH16">
        <f t="shared" si="5"/>
        <v>0</v>
      </c>
      <c r="DI16">
        <f t="shared" si="6"/>
        <v>0</v>
      </c>
      <c r="DJ16">
        <f>DI16</f>
        <v>0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5">
      <c r="A17">
        <f>ROW(Source!A32)</f>
        <v>32</v>
      </c>
      <c r="B17">
        <v>80891032</v>
      </c>
      <c r="C17">
        <v>80892450</v>
      </c>
      <c r="D17">
        <v>80212966</v>
      </c>
      <c r="E17">
        <v>1</v>
      </c>
      <c r="F17">
        <v>1</v>
      </c>
      <c r="G17">
        <v>15514512</v>
      </c>
      <c r="H17">
        <v>2</v>
      </c>
      <c r="I17" t="s">
        <v>138</v>
      </c>
      <c r="J17" t="s">
        <v>139</v>
      </c>
      <c r="K17" t="s">
        <v>140</v>
      </c>
      <c r="L17">
        <v>1368</v>
      </c>
      <c r="N17">
        <v>1011</v>
      </c>
      <c r="O17" t="s">
        <v>125</v>
      </c>
      <c r="P17" t="s">
        <v>125</v>
      </c>
      <c r="Q17">
        <v>1</v>
      </c>
      <c r="W17">
        <v>0</v>
      </c>
      <c r="X17">
        <v>-488503217</v>
      </c>
      <c r="Y17">
        <f>(AT17*26)</f>
        <v>6.76</v>
      </c>
      <c r="AA17">
        <v>0</v>
      </c>
      <c r="AB17">
        <v>2424.88</v>
      </c>
      <c r="AC17">
        <v>968.84</v>
      </c>
      <c r="AD17">
        <v>0</v>
      </c>
      <c r="AE17">
        <v>0</v>
      </c>
      <c r="AF17">
        <v>2424.88</v>
      </c>
      <c r="AG17">
        <v>968.84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0.26</v>
      </c>
      <c r="AU17" t="s">
        <v>43</v>
      </c>
      <c r="AV17">
        <v>0</v>
      </c>
      <c r="AW17">
        <v>2</v>
      </c>
      <c r="AX17">
        <v>80892452</v>
      </c>
      <c r="AY17">
        <v>1</v>
      </c>
      <c r="AZ17">
        <v>0</v>
      </c>
      <c r="BA17">
        <v>18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f>ROUND(Y17*Source!I32*DO17,9)</f>
        <v>0</v>
      </c>
      <c r="CX17">
        <f>ROUND(Y17*Source!I32,9)</f>
        <v>4.7320000000000002</v>
      </c>
      <c r="CY17">
        <f>AB17</f>
        <v>2424.88</v>
      </c>
      <c r="CZ17">
        <f>AF17</f>
        <v>2424.88</v>
      </c>
      <c r="DA17">
        <f>AJ17</f>
        <v>1</v>
      </c>
      <c r="DB17">
        <f>ROUND((ROUND(AT17*CZ17,2)*26),6)</f>
        <v>16392.22</v>
      </c>
      <c r="DC17">
        <f>ROUND((ROUND(AT17*AG17,2)*26),6)</f>
        <v>6549.4</v>
      </c>
      <c r="DD17" t="s">
        <v>3</v>
      </c>
      <c r="DE17" t="s">
        <v>3</v>
      </c>
      <c r="DF17">
        <f t="shared" si="3"/>
        <v>0</v>
      </c>
      <c r="DG17">
        <f t="shared" si="4"/>
        <v>11474.53</v>
      </c>
      <c r="DH17">
        <f t="shared" si="5"/>
        <v>4584.55</v>
      </c>
      <c r="DI17">
        <f t="shared" si="6"/>
        <v>0</v>
      </c>
      <c r="DJ17">
        <f>DG17</f>
        <v>11474.53</v>
      </c>
      <c r="DK17">
        <v>0</v>
      </c>
      <c r="DL17" t="s">
        <v>3</v>
      </c>
      <c r="DM17">
        <v>0</v>
      </c>
      <c r="DN17" t="s">
        <v>3</v>
      </c>
      <c r="DO1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B42D6-5CDE-4127-BA64-1D5F5D0C2831}">
  <dimension ref="A1:AR18"/>
  <sheetViews>
    <sheetView workbookViewId="0"/>
  </sheetViews>
  <sheetFormatPr defaultColWidth="9.1796875" defaultRowHeight="12.5" x14ac:dyDescent="0.25"/>
  <cols>
    <col min="1" max="256" width="9.1796875" customWidth="1"/>
  </cols>
  <sheetData>
    <row r="1" spans="1:44" x14ac:dyDescent="0.25">
      <c r="A1">
        <f>ROW(Source!A24)</f>
        <v>24</v>
      </c>
      <c r="B1">
        <v>80891037</v>
      </c>
      <c r="C1">
        <v>80891036</v>
      </c>
      <c r="D1">
        <v>80199986</v>
      </c>
      <c r="E1">
        <v>15514512</v>
      </c>
      <c r="F1">
        <v>1</v>
      </c>
      <c r="G1">
        <v>15514512</v>
      </c>
      <c r="H1">
        <v>1</v>
      </c>
      <c r="I1" t="s">
        <v>119</v>
      </c>
      <c r="J1" t="s">
        <v>3</v>
      </c>
      <c r="K1" t="s">
        <v>120</v>
      </c>
      <c r="L1">
        <v>1191</v>
      </c>
      <c r="N1">
        <v>1013</v>
      </c>
      <c r="O1" t="s">
        <v>121</v>
      </c>
      <c r="P1" t="s">
        <v>121</v>
      </c>
      <c r="Q1">
        <v>1</v>
      </c>
      <c r="X1">
        <v>0.7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18</v>
      </c>
      <c r="AG1">
        <v>72.8</v>
      </c>
      <c r="AH1">
        <v>2</v>
      </c>
      <c r="AI1">
        <v>80891037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5">
      <c r="A2">
        <f>ROW(Source!A24)</f>
        <v>24</v>
      </c>
      <c r="B2">
        <v>80891038</v>
      </c>
      <c r="C2">
        <v>80891036</v>
      </c>
      <c r="D2">
        <v>80212982</v>
      </c>
      <c r="E2">
        <v>1</v>
      </c>
      <c r="F2">
        <v>1</v>
      </c>
      <c r="G2">
        <v>15514512</v>
      </c>
      <c r="H2">
        <v>2</v>
      </c>
      <c r="I2" t="s">
        <v>122</v>
      </c>
      <c r="J2" t="s">
        <v>123</v>
      </c>
      <c r="K2" t="s">
        <v>124</v>
      </c>
      <c r="L2">
        <v>1368</v>
      </c>
      <c r="N2">
        <v>1011</v>
      </c>
      <c r="O2" t="s">
        <v>125</v>
      </c>
      <c r="P2" t="s">
        <v>125</v>
      </c>
      <c r="Q2">
        <v>1</v>
      </c>
      <c r="X2">
        <v>0.55000000000000004</v>
      </c>
      <c r="Y2">
        <v>0</v>
      </c>
      <c r="Z2">
        <v>1609.58</v>
      </c>
      <c r="AA2">
        <v>824.95</v>
      </c>
      <c r="AB2">
        <v>0</v>
      </c>
      <c r="AC2">
        <v>0</v>
      </c>
      <c r="AD2">
        <v>1</v>
      </c>
      <c r="AE2">
        <v>0</v>
      </c>
      <c r="AF2" t="s">
        <v>18</v>
      </c>
      <c r="AG2">
        <v>57.2</v>
      </c>
      <c r="AH2">
        <v>2</v>
      </c>
      <c r="AI2">
        <v>80891038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5">
      <c r="A3">
        <f>ROW(Source!A24)</f>
        <v>24</v>
      </c>
      <c r="B3">
        <v>80891039</v>
      </c>
      <c r="C3">
        <v>80891036</v>
      </c>
      <c r="D3">
        <v>80212804</v>
      </c>
      <c r="E3">
        <v>1</v>
      </c>
      <c r="F3">
        <v>1</v>
      </c>
      <c r="G3">
        <v>15514512</v>
      </c>
      <c r="H3">
        <v>2</v>
      </c>
      <c r="I3" t="s">
        <v>126</v>
      </c>
      <c r="J3" t="s">
        <v>127</v>
      </c>
      <c r="K3" t="s">
        <v>128</v>
      </c>
      <c r="L3">
        <v>1368</v>
      </c>
      <c r="N3">
        <v>1011</v>
      </c>
      <c r="O3" t="s">
        <v>125</v>
      </c>
      <c r="P3" t="s">
        <v>125</v>
      </c>
      <c r="Q3">
        <v>1</v>
      </c>
      <c r="X3">
        <v>0.46</v>
      </c>
      <c r="Y3">
        <v>0</v>
      </c>
      <c r="Z3">
        <v>2533.12</v>
      </c>
      <c r="AA3">
        <v>1009.14</v>
      </c>
      <c r="AB3">
        <v>0</v>
      </c>
      <c r="AC3">
        <v>0</v>
      </c>
      <c r="AD3">
        <v>1</v>
      </c>
      <c r="AE3">
        <v>0</v>
      </c>
      <c r="AF3" t="s">
        <v>18</v>
      </c>
      <c r="AG3">
        <v>47.84</v>
      </c>
      <c r="AH3">
        <v>2</v>
      </c>
      <c r="AI3">
        <v>80891039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5">
      <c r="A4">
        <f>ROW(Source!A24)</f>
        <v>24</v>
      </c>
      <c r="B4">
        <v>80891040</v>
      </c>
      <c r="C4">
        <v>80891036</v>
      </c>
      <c r="D4">
        <v>80215470</v>
      </c>
      <c r="E4">
        <v>1</v>
      </c>
      <c r="F4">
        <v>1</v>
      </c>
      <c r="G4">
        <v>15514512</v>
      </c>
      <c r="H4">
        <v>3</v>
      </c>
      <c r="I4" t="s">
        <v>23</v>
      </c>
      <c r="J4" t="s">
        <v>26</v>
      </c>
      <c r="K4" t="s">
        <v>24</v>
      </c>
      <c r="L4">
        <v>1339</v>
      </c>
      <c r="N4">
        <v>1007</v>
      </c>
      <c r="O4" t="s">
        <v>25</v>
      </c>
      <c r="P4" t="s">
        <v>25</v>
      </c>
      <c r="Q4">
        <v>1</v>
      </c>
      <c r="X4">
        <v>1</v>
      </c>
      <c r="Y4">
        <v>54.81</v>
      </c>
      <c r="Z4">
        <v>0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18</v>
      </c>
      <c r="AG4">
        <v>104</v>
      </c>
      <c r="AH4">
        <v>2</v>
      </c>
      <c r="AI4">
        <v>80891040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5">
      <c r="A5">
        <f>ROW(Source!A26)</f>
        <v>26</v>
      </c>
      <c r="B5">
        <v>80891042</v>
      </c>
      <c r="C5">
        <v>80891041</v>
      </c>
      <c r="D5">
        <v>80199986</v>
      </c>
      <c r="E5">
        <v>15514512</v>
      </c>
      <c r="F5">
        <v>1</v>
      </c>
      <c r="G5">
        <v>15514512</v>
      </c>
      <c r="H5">
        <v>1</v>
      </c>
      <c r="I5" t="s">
        <v>119</v>
      </c>
      <c r="J5" t="s">
        <v>3</v>
      </c>
      <c r="K5" t="s">
        <v>120</v>
      </c>
      <c r="L5">
        <v>1191</v>
      </c>
      <c r="N5">
        <v>1013</v>
      </c>
      <c r="O5" t="s">
        <v>121</v>
      </c>
      <c r="P5" t="s">
        <v>121</v>
      </c>
      <c r="Q5">
        <v>1</v>
      </c>
      <c r="X5">
        <v>0.14000000000000001</v>
      </c>
      <c r="Y5">
        <v>0</v>
      </c>
      <c r="Z5">
        <v>0</v>
      </c>
      <c r="AA5">
        <v>0</v>
      </c>
      <c r="AB5">
        <v>0</v>
      </c>
      <c r="AC5">
        <v>0</v>
      </c>
      <c r="AD5">
        <v>1</v>
      </c>
      <c r="AE5">
        <v>1</v>
      </c>
      <c r="AF5" t="s">
        <v>18</v>
      </c>
      <c r="AG5">
        <v>14.560000000000002</v>
      </c>
      <c r="AH5">
        <v>2</v>
      </c>
      <c r="AI5">
        <v>80891042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5">
      <c r="A6">
        <f>ROW(Source!A26)</f>
        <v>26</v>
      </c>
      <c r="B6">
        <v>80891043</v>
      </c>
      <c r="C6">
        <v>80891041</v>
      </c>
      <c r="D6">
        <v>80212804</v>
      </c>
      <c r="E6">
        <v>1</v>
      </c>
      <c r="F6">
        <v>1</v>
      </c>
      <c r="G6">
        <v>15514512</v>
      </c>
      <c r="H6">
        <v>2</v>
      </c>
      <c r="I6" t="s">
        <v>126</v>
      </c>
      <c r="J6" t="s">
        <v>127</v>
      </c>
      <c r="K6" t="s">
        <v>128</v>
      </c>
      <c r="L6">
        <v>1368</v>
      </c>
      <c r="N6">
        <v>1011</v>
      </c>
      <c r="O6" t="s">
        <v>125</v>
      </c>
      <c r="P6" t="s">
        <v>125</v>
      </c>
      <c r="Q6">
        <v>1</v>
      </c>
      <c r="X6">
        <v>0.22</v>
      </c>
      <c r="Y6">
        <v>0</v>
      </c>
      <c r="Z6">
        <v>2533.12</v>
      </c>
      <c r="AA6">
        <v>1009.14</v>
      </c>
      <c r="AB6">
        <v>0</v>
      </c>
      <c r="AC6">
        <v>0</v>
      </c>
      <c r="AD6">
        <v>1</v>
      </c>
      <c r="AE6">
        <v>0</v>
      </c>
      <c r="AF6" t="s">
        <v>18</v>
      </c>
      <c r="AG6">
        <v>22.88</v>
      </c>
      <c r="AH6">
        <v>2</v>
      </c>
      <c r="AI6">
        <v>80891043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5">
      <c r="A7">
        <f>ROW(Source!A26)</f>
        <v>26</v>
      </c>
      <c r="B7">
        <v>80891044</v>
      </c>
      <c r="C7">
        <v>80891041</v>
      </c>
      <c r="D7">
        <v>80215470</v>
      </c>
      <c r="E7">
        <v>1</v>
      </c>
      <c r="F7">
        <v>1</v>
      </c>
      <c r="G7">
        <v>15514512</v>
      </c>
      <c r="H7">
        <v>3</v>
      </c>
      <c r="I7" t="s">
        <v>23</v>
      </c>
      <c r="J7" t="s">
        <v>26</v>
      </c>
      <c r="K7" t="s">
        <v>24</v>
      </c>
      <c r="L7">
        <v>1339</v>
      </c>
      <c r="N7">
        <v>1007</v>
      </c>
      <c r="O7" t="s">
        <v>25</v>
      </c>
      <c r="P7" t="s">
        <v>25</v>
      </c>
      <c r="Q7">
        <v>1</v>
      </c>
      <c r="X7">
        <v>2</v>
      </c>
      <c r="Y7">
        <v>54.81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18</v>
      </c>
      <c r="AG7">
        <v>208</v>
      </c>
      <c r="AH7">
        <v>2</v>
      </c>
      <c r="AI7">
        <v>80891044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5">
      <c r="A8">
        <f>ROW(Source!A28)</f>
        <v>28</v>
      </c>
      <c r="B8">
        <v>80891047</v>
      </c>
      <c r="C8">
        <v>80891046</v>
      </c>
      <c r="D8">
        <v>80199986</v>
      </c>
      <c r="E8">
        <v>15514512</v>
      </c>
      <c r="F8">
        <v>1</v>
      </c>
      <c r="G8">
        <v>15514512</v>
      </c>
      <c r="H8">
        <v>1</v>
      </c>
      <c r="I8" t="s">
        <v>119</v>
      </c>
      <c r="J8" t="s">
        <v>3</v>
      </c>
      <c r="K8" t="s">
        <v>120</v>
      </c>
      <c r="L8">
        <v>1191</v>
      </c>
      <c r="N8">
        <v>1013</v>
      </c>
      <c r="O8" t="s">
        <v>121</v>
      </c>
      <c r="P8" t="s">
        <v>121</v>
      </c>
      <c r="Q8">
        <v>1</v>
      </c>
      <c r="X8">
        <v>0.72</v>
      </c>
      <c r="Y8">
        <v>0</v>
      </c>
      <c r="Z8">
        <v>0</v>
      </c>
      <c r="AA8">
        <v>0</v>
      </c>
      <c r="AB8">
        <v>0</v>
      </c>
      <c r="AC8">
        <v>0</v>
      </c>
      <c r="AD8">
        <v>1</v>
      </c>
      <c r="AE8">
        <v>1</v>
      </c>
      <c r="AF8" t="s">
        <v>36</v>
      </c>
      <c r="AG8">
        <v>187.2</v>
      </c>
      <c r="AH8">
        <v>2</v>
      </c>
      <c r="AI8">
        <v>80891047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5">
      <c r="A9">
        <f>ROW(Source!A28)</f>
        <v>28</v>
      </c>
      <c r="B9">
        <v>80891048</v>
      </c>
      <c r="C9">
        <v>80891046</v>
      </c>
      <c r="D9">
        <v>80215385</v>
      </c>
      <c r="E9">
        <v>1</v>
      </c>
      <c r="F9">
        <v>1</v>
      </c>
      <c r="G9">
        <v>15514512</v>
      </c>
      <c r="H9">
        <v>3</v>
      </c>
      <c r="I9" t="s">
        <v>129</v>
      </c>
      <c r="J9" t="s">
        <v>130</v>
      </c>
      <c r="K9" t="s">
        <v>131</v>
      </c>
      <c r="L9">
        <v>1296</v>
      </c>
      <c r="N9">
        <v>1002</v>
      </c>
      <c r="O9" t="s">
        <v>47</v>
      </c>
      <c r="P9" t="s">
        <v>47</v>
      </c>
      <c r="Q9">
        <v>1</v>
      </c>
      <c r="X9">
        <v>0.04</v>
      </c>
      <c r="Y9">
        <v>111.42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36</v>
      </c>
      <c r="AG9">
        <v>10.4</v>
      </c>
      <c r="AH9">
        <v>2</v>
      </c>
      <c r="AI9">
        <v>80891048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5">
      <c r="A10">
        <f>ROW(Source!A28)</f>
        <v>28</v>
      </c>
      <c r="B10">
        <v>80891049</v>
      </c>
      <c r="C10">
        <v>80891046</v>
      </c>
      <c r="D10">
        <v>80215411</v>
      </c>
      <c r="E10">
        <v>1</v>
      </c>
      <c r="F10">
        <v>1</v>
      </c>
      <c r="G10">
        <v>15514512</v>
      </c>
      <c r="H10">
        <v>3</v>
      </c>
      <c r="I10" t="s">
        <v>132</v>
      </c>
      <c r="J10" t="s">
        <v>133</v>
      </c>
      <c r="K10" t="s">
        <v>134</v>
      </c>
      <c r="L10">
        <v>1296</v>
      </c>
      <c r="N10">
        <v>1002</v>
      </c>
      <c r="O10" t="s">
        <v>47</v>
      </c>
      <c r="P10" t="s">
        <v>47</v>
      </c>
      <c r="Q10">
        <v>1</v>
      </c>
      <c r="X10">
        <v>0.03</v>
      </c>
      <c r="Y10">
        <v>420.12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36</v>
      </c>
      <c r="AG10">
        <v>7.8000000000000007</v>
      </c>
      <c r="AH10">
        <v>2</v>
      </c>
      <c r="AI10">
        <v>80891049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5">
      <c r="A11">
        <f>ROW(Source!A28)</f>
        <v>28</v>
      </c>
      <c r="B11">
        <v>80891050</v>
      </c>
      <c r="C11">
        <v>80891046</v>
      </c>
      <c r="D11">
        <v>80215470</v>
      </c>
      <c r="E11">
        <v>1</v>
      </c>
      <c r="F11">
        <v>1</v>
      </c>
      <c r="G11">
        <v>15514512</v>
      </c>
      <c r="H11">
        <v>3</v>
      </c>
      <c r="I11" t="s">
        <v>23</v>
      </c>
      <c r="J11" t="s">
        <v>26</v>
      </c>
      <c r="K11" t="s">
        <v>24</v>
      </c>
      <c r="L11">
        <v>1339</v>
      </c>
      <c r="N11">
        <v>1007</v>
      </c>
      <c r="O11" t="s">
        <v>25</v>
      </c>
      <c r="P11" t="s">
        <v>25</v>
      </c>
      <c r="Q11">
        <v>1</v>
      </c>
      <c r="X11">
        <v>0.03</v>
      </c>
      <c r="Y11">
        <v>54.81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36</v>
      </c>
      <c r="AG11">
        <v>7.8000000000000007</v>
      </c>
      <c r="AH11">
        <v>2</v>
      </c>
      <c r="AI11">
        <v>80891050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5">
      <c r="A12">
        <f>ROW(Source!A28)</f>
        <v>28</v>
      </c>
      <c r="B12">
        <v>80891051</v>
      </c>
      <c r="C12">
        <v>80891046</v>
      </c>
      <c r="D12">
        <v>80215859</v>
      </c>
      <c r="E12">
        <v>1</v>
      </c>
      <c r="F12">
        <v>1</v>
      </c>
      <c r="G12">
        <v>15514512</v>
      </c>
      <c r="H12">
        <v>3</v>
      </c>
      <c r="I12" t="s">
        <v>135</v>
      </c>
      <c r="J12" t="s">
        <v>136</v>
      </c>
      <c r="K12" t="s">
        <v>137</v>
      </c>
      <c r="L12">
        <v>1354</v>
      </c>
      <c r="N12">
        <v>1010</v>
      </c>
      <c r="O12" t="s">
        <v>41</v>
      </c>
      <c r="P12" t="s">
        <v>41</v>
      </c>
      <c r="Q12">
        <v>1</v>
      </c>
      <c r="X12">
        <v>2</v>
      </c>
      <c r="Y12">
        <v>2.12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36</v>
      </c>
      <c r="AG12">
        <v>520</v>
      </c>
      <c r="AH12">
        <v>2</v>
      </c>
      <c r="AI12">
        <v>80891051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5">
      <c r="A13">
        <f>ROW(Source!A30)</f>
        <v>30</v>
      </c>
      <c r="B13">
        <v>80892444</v>
      </c>
      <c r="C13">
        <v>80892443</v>
      </c>
      <c r="D13">
        <v>80199986</v>
      </c>
      <c r="E13">
        <v>15514512</v>
      </c>
      <c r="F13">
        <v>1</v>
      </c>
      <c r="G13">
        <v>15514512</v>
      </c>
      <c r="H13">
        <v>1</v>
      </c>
      <c r="I13" t="s">
        <v>119</v>
      </c>
      <c r="J13" t="s">
        <v>3</v>
      </c>
      <c r="K13" t="s">
        <v>120</v>
      </c>
      <c r="L13">
        <v>1191</v>
      </c>
      <c r="N13">
        <v>1013</v>
      </c>
      <c r="O13" t="s">
        <v>121</v>
      </c>
      <c r="P13" t="s">
        <v>121</v>
      </c>
      <c r="Q13">
        <v>1</v>
      </c>
      <c r="X13">
        <v>0.28000000000000003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1</v>
      </c>
      <c r="AF13" t="s">
        <v>43</v>
      </c>
      <c r="AG13">
        <v>7.2800000000000011</v>
      </c>
      <c r="AH13">
        <v>2</v>
      </c>
      <c r="AI13">
        <v>80892444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5">
      <c r="A14">
        <f>ROW(Source!A30)</f>
        <v>30</v>
      </c>
      <c r="B14">
        <v>80892445</v>
      </c>
      <c r="C14">
        <v>80892443</v>
      </c>
      <c r="D14">
        <v>80212966</v>
      </c>
      <c r="E14">
        <v>1</v>
      </c>
      <c r="F14">
        <v>1</v>
      </c>
      <c r="G14">
        <v>15514512</v>
      </c>
      <c r="H14">
        <v>2</v>
      </c>
      <c r="I14" t="s">
        <v>138</v>
      </c>
      <c r="J14" t="s">
        <v>139</v>
      </c>
      <c r="K14" t="s">
        <v>140</v>
      </c>
      <c r="L14">
        <v>1368</v>
      </c>
      <c r="N14">
        <v>1011</v>
      </c>
      <c r="O14" t="s">
        <v>125</v>
      </c>
      <c r="P14" t="s">
        <v>125</v>
      </c>
      <c r="Q14">
        <v>1</v>
      </c>
      <c r="X14">
        <v>0.17</v>
      </c>
      <c r="Y14">
        <v>0</v>
      </c>
      <c r="Z14">
        <v>2424.88</v>
      </c>
      <c r="AA14">
        <v>968.84</v>
      </c>
      <c r="AB14">
        <v>0</v>
      </c>
      <c r="AC14">
        <v>0</v>
      </c>
      <c r="AD14">
        <v>1</v>
      </c>
      <c r="AE14">
        <v>0</v>
      </c>
      <c r="AF14" t="s">
        <v>43</v>
      </c>
      <c r="AG14">
        <v>4.42</v>
      </c>
      <c r="AH14">
        <v>2</v>
      </c>
      <c r="AI14">
        <v>80892445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5">
      <c r="A15">
        <f>ROW(Source!A30)</f>
        <v>30</v>
      </c>
      <c r="B15">
        <v>80892446</v>
      </c>
      <c r="C15">
        <v>80892443</v>
      </c>
      <c r="D15">
        <v>80200175</v>
      </c>
      <c r="E15">
        <v>15514512</v>
      </c>
      <c r="F15">
        <v>1</v>
      </c>
      <c r="G15">
        <v>15514512</v>
      </c>
      <c r="H15">
        <v>3</v>
      </c>
      <c r="I15" t="s">
        <v>141</v>
      </c>
      <c r="J15" t="s">
        <v>3</v>
      </c>
      <c r="K15" t="s">
        <v>24</v>
      </c>
      <c r="L15">
        <v>1339</v>
      </c>
      <c r="N15">
        <v>1007</v>
      </c>
      <c r="O15" t="s">
        <v>25</v>
      </c>
      <c r="P15" t="s">
        <v>25</v>
      </c>
      <c r="Q15">
        <v>1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 t="s">
        <v>43</v>
      </c>
      <c r="AG15">
        <v>0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5">
      <c r="A16">
        <f>ROW(Source!A30)</f>
        <v>30</v>
      </c>
      <c r="B16">
        <v>80892447</v>
      </c>
      <c r="C16">
        <v>80892443</v>
      </c>
      <c r="D16">
        <v>80200177</v>
      </c>
      <c r="E16">
        <v>15514512</v>
      </c>
      <c r="F16">
        <v>1</v>
      </c>
      <c r="G16">
        <v>15514512</v>
      </c>
      <c r="H16">
        <v>3</v>
      </c>
      <c r="I16" t="s">
        <v>142</v>
      </c>
      <c r="J16" t="s">
        <v>3</v>
      </c>
      <c r="K16" t="s">
        <v>143</v>
      </c>
      <c r="L16">
        <v>1296</v>
      </c>
      <c r="N16">
        <v>1002</v>
      </c>
      <c r="O16" t="s">
        <v>47</v>
      </c>
      <c r="P16" t="s">
        <v>47</v>
      </c>
      <c r="Q16">
        <v>1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 t="s">
        <v>43</v>
      </c>
      <c r="AG16">
        <v>0</v>
      </c>
      <c r="AH16">
        <v>3</v>
      </c>
      <c r="AI16">
        <v>-1</v>
      </c>
      <c r="AJ16" t="s">
        <v>3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5">
      <c r="A17">
        <f>ROW(Source!A32)</f>
        <v>32</v>
      </c>
      <c r="B17">
        <v>80892451</v>
      </c>
      <c r="C17">
        <v>80892450</v>
      </c>
      <c r="D17">
        <v>80199986</v>
      </c>
      <c r="E17">
        <v>15514512</v>
      </c>
      <c r="F17">
        <v>1</v>
      </c>
      <c r="G17">
        <v>15514512</v>
      </c>
      <c r="H17">
        <v>1</v>
      </c>
      <c r="I17" t="s">
        <v>119</v>
      </c>
      <c r="J17" t="s">
        <v>3</v>
      </c>
      <c r="K17" t="s">
        <v>120</v>
      </c>
      <c r="L17">
        <v>1191</v>
      </c>
      <c r="N17">
        <v>1013</v>
      </c>
      <c r="O17" t="s">
        <v>121</v>
      </c>
      <c r="P17" t="s">
        <v>121</v>
      </c>
      <c r="Q17">
        <v>1</v>
      </c>
      <c r="X17">
        <v>0.32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43</v>
      </c>
      <c r="AG17">
        <v>8.32</v>
      </c>
      <c r="AH17">
        <v>2</v>
      </c>
      <c r="AI17">
        <v>80892451</v>
      </c>
      <c r="AJ17">
        <v>16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5">
      <c r="A18">
        <f>ROW(Source!A32)</f>
        <v>32</v>
      </c>
      <c r="B18">
        <v>80892452</v>
      </c>
      <c r="C18">
        <v>80892450</v>
      </c>
      <c r="D18">
        <v>80212966</v>
      </c>
      <c r="E18">
        <v>1</v>
      </c>
      <c r="F18">
        <v>1</v>
      </c>
      <c r="G18">
        <v>15514512</v>
      </c>
      <c r="H18">
        <v>2</v>
      </c>
      <c r="I18" t="s">
        <v>138</v>
      </c>
      <c r="J18" t="s">
        <v>139</v>
      </c>
      <c r="K18" t="s">
        <v>140</v>
      </c>
      <c r="L18">
        <v>1368</v>
      </c>
      <c r="N18">
        <v>1011</v>
      </c>
      <c r="O18" t="s">
        <v>125</v>
      </c>
      <c r="P18" t="s">
        <v>125</v>
      </c>
      <c r="Q18">
        <v>1</v>
      </c>
      <c r="X18">
        <v>0.26</v>
      </c>
      <c r="Y18">
        <v>0</v>
      </c>
      <c r="Z18">
        <v>2424.88</v>
      </c>
      <c r="AA18">
        <v>968.84</v>
      </c>
      <c r="AB18">
        <v>0</v>
      </c>
      <c r="AC18">
        <v>0</v>
      </c>
      <c r="AD18">
        <v>1</v>
      </c>
      <c r="AE18">
        <v>0</v>
      </c>
      <c r="AF18" t="s">
        <v>43</v>
      </c>
      <c r="AG18">
        <v>6.76</v>
      </c>
      <c r="AH18">
        <v>2</v>
      </c>
      <c r="AI18">
        <v>80892452</v>
      </c>
      <c r="AJ18">
        <v>17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E5DEF-68DA-4699-B29E-56B628FD8206}">
  <dimension ref="A1"/>
  <sheetViews>
    <sheetView workbookViewId="0"/>
  </sheetViews>
  <sheetFormatPr defaultColWidth="9.1796875" defaultRowHeight="12.5" x14ac:dyDescent="0.25"/>
  <cols>
    <col min="1" max="256" width="9.179687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Смета СН-2012 по гл. 1-5,7</vt:lpstr>
      <vt:lpstr>Ведомость объемов работ</vt:lpstr>
      <vt:lpstr>RV_DATA</vt:lpstr>
      <vt:lpstr>Расчет стоимости ресурсов</vt:lpstr>
      <vt:lpstr>Source</vt:lpstr>
      <vt:lpstr>SourceObSm</vt:lpstr>
      <vt:lpstr>SmtRes</vt:lpstr>
      <vt:lpstr>EtalonRes</vt:lpstr>
      <vt:lpstr>SrcPoprs</vt:lpstr>
      <vt:lpstr>SrcKA</vt:lpstr>
      <vt:lpstr>'Ведомость объемов работ'!Заголовки_для_печати</vt:lpstr>
      <vt:lpstr>'Расчет стоимости ресурсов'!Заголовки_для_печати</vt:lpstr>
      <vt:lpstr>'Смета СН-2012 по гл. 1-5,7'!Заголовки_для_печати</vt:lpstr>
      <vt:lpstr>'Ведомость объемов работ'!Область_печати</vt:lpstr>
      <vt:lpstr>'Расчет стоимости ресурсов'!Область_печати</vt:lpstr>
      <vt:lpstr>'Смета СН-2012 по гл. 1-5,7'!Область_печати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2025-12-02T14:14:28Z</dcterms:created>
  <dcterms:modified xsi:type="dcterms:W3CDTF">2025-12-09T09:59:17Z</dcterms:modified>
</cp:coreProperties>
</file>